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0" windowWidth="14235" windowHeight="11640" tabRatio="1000" activeTab="0"/>
  </bookViews>
  <sheets>
    <sheet name="งบทดลอ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<sst xmlns="http://schemas.openxmlformats.org/spreadsheetml/2006/main" count="554" uniqueCount="293">
  <si>
    <t>งบทดลอง</t>
  </si>
  <si>
    <t>รายการ</t>
  </si>
  <si>
    <t>ยกมา</t>
  </si>
  <si>
    <t>คงเหลือ</t>
  </si>
  <si>
    <t>รายการปรับปรุง</t>
  </si>
  <si>
    <t>รายจ่ายงบกลาง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</si>
  <si>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</si>
  <si>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</si>
  <si>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</si>
  <si>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</si>
  <si>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</si>
  <si>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</si>
  <si>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</si>
  <si>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ยอดยกมา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</si>
  <si>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</si>
  <si>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</si>
  <si>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</si>
  <si>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</si>
  <si>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หมวดภาษีจัดสรร</t>
  </si>
  <si>
    <t>หมวดเงินอุดหนุน</t>
  </si>
  <si>
    <t>รวมทั้งสิ้น</t>
  </si>
  <si>
    <t>รับ - จ่าย</t>
  </si>
  <si>
    <t>รับจ่ายระหว่างงวด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</si>
  <si>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</si>
  <si>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</si>
  <si>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</si>
  <si>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</si>
  <si>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</si>
  <si>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</si>
  <si>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</si>
  <si>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</si>
  <si>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</si>
  <si>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</si>
  <si>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</si>
  <si>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Dr</t>
  </si>
  <si>
    <t>Cr</t>
  </si>
  <si>
    <t>ทรัพย์สิน</t>
  </si>
  <si>
    <t>บัญชีเงินสด</t>
  </si>
  <si>
    <t>บัญชีเงินอุดหนุนทั่วไปฝากจังหวัด</t>
  </si>
  <si>
    <t>บัญชีเงินฝากคลังจังหวัดทุ่งสง</t>
  </si>
  <si>
    <t>บัญชีเงินอุดหนุนกำหนดวัตถุประสงค์ฝากจังหวัด</t>
  </si>
  <si>
    <t>ทรัพย์สินเกิดจากเงินกู้</t>
  </si>
  <si>
    <t>บัญชีเงินฝากธนาคาร</t>
  </si>
  <si>
    <t>-</t>
  </si>
  <si>
    <t>ประเภทกระแสรายวัน</t>
  </si>
  <si>
    <t>กรุงไทย</t>
  </si>
  <si>
    <t>สาขา</t>
  </si>
  <si>
    <t>นครศรีฯ</t>
  </si>
  <si>
    <t>เลขบัญชี</t>
  </si>
  <si>
    <t>06573-2</t>
  </si>
  <si>
    <t>06055-2</t>
  </si>
  <si>
    <t>ทุ่งสง</t>
  </si>
  <si>
    <t>พิปูน</t>
  </si>
  <si>
    <t>835-6-00452-7</t>
  </si>
  <si>
    <t>ออมสิน</t>
  </si>
  <si>
    <t>ฉวาง</t>
  </si>
  <si>
    <t>046-1</t>
  </si>
  <si>
    <t>ปรเภทออมทรัพย์</t>
  </si>
  <si>
    <t>00835-8</t>
  </si>
  <si>
    <t>15540-3</t>
  </si>
  <si>
    <t>ออมสิน (ผื่อเรียก)</t>
  </si>
  <si>
    <t>08-6002-20-158202-7</t>
  </si>
  <si>
    <t>08-6002-20-1950662-3</t>
  </si>
  <si>
    <t>08-6002-20-190659-8</t>
  </si>
  <si>
    <t>08-6002-20-20190660-5</t>
  </si>
  <si>
    <t xml:space="preserve">กรุงไทย </t>
  </si>
  <si>
    <t>จันดี</t>
  </si>
  <si>
    <t>835-1-03367-7</t>
  </si>
  <si>
    <t>ประเภทประจำ</t>
  </si>
  <si>
    <t>เพื่อการเกษตรฯ</t>
  </si>
  <si>
    <t>815-2-03291-3</t>
  </si>
  <si>
    <t>33342-2</t>
  </si>
  <si>
    <t>34234-0</t>
  </si>
  <si>
    <t xml:space="preserve">บัญชีเงินฝาก ก.ส.ท. </t>
  </si>
  <si>
    <t>บัญชีเงินฝากคลังจังหวัด</t>
  </si>
  <si>
    <t>ภาระผูกพันกับ ก.ส.ส.</t>
  </si>
  <si>
    <t>บัญชีเงินอุดหนุนเฉพาะกิจฝากจังหวัด1</t>
  </si>
  <si>
    <t>บัญชีเงินอุดหนุนเฉพาะกิจฝากจังหวัด2</t>
  </si>
  <si>
    <t>บัญชีเงินอุดหนุนเฉพาะกิจฝากจังหวัด3</t>
  </si>
  <si>
    <t>บัญชีเงินอุดหนุนทั่วไปฝากคลังจังหวัด1</t>
  </si>
  <si>
    <t>บัญชีเงินอุดหนุนทั่วไปฝากคลังจังหวัด2</t>
  </si>
  <si>
    <t>บัญชีลูกหนี้</t>
  </si>
  <si>
    <t>ภาษีโรงเรือนและที่ดิน</t>
  </si>
  <si>
    <t>ภาษีป้าย</t>
  </si>
  <si>
    <t>ภาษีบำรุงท้องที่</t>
  </si>
  <si>
    <t>เงินยืมสะสม</t>
  </si>
  <si>
    <t>บัญชีเงินขาดบัญชี</t>
  </si>
  <si>
    <t>บัญชีลูกหนี้เงินยืมเงินสะสม</t>
  </si>
  <si>
    <t>บัญชีลูกหนี้เงินยืมเงินสะสมจ่ายล่วงหน้า</t>
  </si>
  <si>
    <t>บัญชีลูกหนี้เงินขาดบัญชี................</t>
  </si>
  <si>
    <t>รายได้ค้างรับ</t>
  </si>
  <si>
    <t>รายรับ</t>
  </si>
  <si>
    <t>รวมทรัพย์สิน</t>
  </si>
  <si>
    <t>ยกไป</t>
  </si>
  <si>
    <t>หนี้สิน และเงินสะสม</t>
  </si>
  <si>
    <t>เจ้าหนี้เงินกู้</t>
  </si>
  <si>
    <t>บัญชีรายจ่ายค้างจ่าย (เงินอุดหนุนระบุวัตถุประสงค์)</t>
  </si>
  <si>
    <t xml:space="preserve">                        เงินอุดหนุนบริการสาธารณสุข </t>
  </si>
  <si>
    <t>บัญชีเงินอุดหนุนทั่วไปค้างจ่าย</t>
  </si>
  <si>
    <t>บัญชีเงินอุดหนุนระบุวัตถุประสงค์ค้างจ่าย</t>
  </si>
  <si>
    <t>บัญชีรายจ่ายผัดส่งใบสำคัญ</t>
  </si>
  <si>
    <t>บัญชีรายจ่ายโครงการเรียนรู้ภาษาอังกฤษ ค้างจ่าย</t>
  </si>
  <si>
    <t>บัญชีเงินอุดหนุนเฉพาะกิจค้างจ่าย 1</t>
  </si>
  <si>
    <t>บัญชีเงินอุดหนุนอาหารเสริมนมค้างจ่าย</t>
  </si>
  <si>
    <t>บัญชีเงินอุดหนุนส่งเสริมสังคมและเยาวชนค้างจ่าย</t>
  </si>
  <si>
    <t>บัญชีเงินอุดหนุนรณรงค์ยาเสพติดค้างจ่าย</t>
  </si>
  <si>
    <t>บัญชีเงินอุดหนุนหอกระจายข่าวค้างจ่าย</t>
  </si>
  <si>
    <t>บัญชีเงินอุดหนุนเงินสงเคราะห์เบี้ยยังชีพคนชราค้างจ่าย</t>
  </si>
  <si>
    <t>บัญชีเงินอุดหนุนโครงการสาธารณสุขมูลฐานชุมชนค้างจ่าย</t>
  </si>
  <si>
    <t>บัญชีเงินอุดหนุนพัฒนางานสาธารณสุขมูลฐานค้างจ่าย</t>
  </si>
  <si>
    <t>บัญชีเงินอุดหนุนค่าวัสดุค้างจ่าย</t>
  </si>
  <si>
    <t>บัญชีเงินอุดหนุนค่าพาหนะค้างจ่าย</t>
  </si>
  <si>
    <t>เงินอุดหนุนเฉพาะกิจค้างจ่าย</t>
  </si>
  <si>
    <t>เจ้าหนี้เงินกู้ กสท.</t>
  </si>
  <si>
    <t>เจ้าหนี้ธนาคาร</t>
  </si>
  <si>
    <t>บัญชีภาษีหน้าฎีกา</t>
  </si>
  <si>
    <t>บัญชีเงินสำรองรายรับ</t>
  </si>
  <si>
    <t>เงินเกินบัญชี</t>
  </si>
  <si>
    <t>บัญชีเจ้าหนี้เงินกู้</t>
  </si>
  <si>
    <t>บัญชีเจ้าหนี้อื่นๆ1</t>
  </si>
  <si>
    <t>บัญชีเจ้าหนี้อื่นๆ2</t>
  </si>
  <si>
    <t>บัญชีเจ้าหนี้อื่นๆ3</t>
  </si>
  <si>
    <t>บัญชีเจ้าหนี้อื่นๆ4</t>
  </si>
  <si>
    <t>เงินอุดหนุนทั่วไปฝากจังหวัด</t>
  </si>
  <si>
    <t>บัญชีเงินรับฝาก</t>
  </si>
  <si>
    <t>ช.ค.บ.</t>
  </si>
  <si>
    <t>ภาษี หัก ณ ที่จ่าย</t>
  </si>
  <si>
    <t>ประกันสัญญา</t>
  </si>
  <si>
    <t>ค่าใช้จ่ายในการจัดเก็บภาษีบำรุงท้องที่ 5%</t>
  </si>
  <si>
    <t>เงินรับฝาก - กบข.</t>
  </si>
  <si>
    <t>เงินรับฝาก - ค่าตอบแทนเจ้าหน้าที่สหกรณ์</t>
  </si>
  <si>
    <t>เงินรับฝาก - โครงการถ่ายโอนบุคลากร</t>
  </si>
  <si>
    <t>เงินรับฝากอื่น 2 ค่าใบอนุญาตปิโตรเลียม</t>
  </si>
  <si>
    <t>เงินรับฝาก (หมายเหตุ 2)</t>
  </si>
  <si>
    <t>เงินอุดหนุนอาหารเสริมนม (สปช.)</t>
  </si>
  <si>
    <t>บัญชีโครงการพัฒนาศักยภาพชุมชน</t>
  </si>
  <si>
    <t>บัญชีค่าพาหนะ (ศูนย์)</t>
  </si>
  <si>
    <t>บัญชีค่าวัสดุอุปกรณ์ (ศูนย์)</t>
  </si>
  <si>
    <t>บัญชีค่าตอบแทนครูพี่เลี้ยง</t>
  </si>
  <si>
    <t>เบิกเกินส่งคืน</t>
  </si>
  <si>
    <t>บัญชีถ่ายโอนภารกิจสูบน้ำด้วยไฟฟ้า</t>
  </si>
  <si>
    <t>บัญชีโครงการเรียนรู้ภาษาอังกฤษ</t>
  </si>
  <si>
    <t>บัญชีวัสดุกีฬา</t>
  </si>
  <si>
    <t>บัญชีเงินค่าวัสดุโครงการแก้ไขปัญหาความยากจน</t>
  </si>
  <si>
    <t>บัญชีเงินสะสม</t>
  </si>
  <si>
    <t>บัญชีเงินโครงการสาธารณสุขมูลฐานชุมชน</t>
  </si>
  <si>
    <t>บัญชีเงินสงเคราะห์เบี้ยยังชีพ</t>
  </si>
  <si>
    <t>บัญชีเงินทุนสำรองเงินสะสม</t>
  </si>
  <si>
    <t>บัญชีรายรับ</t>
  </si>
  <si>
    <t>รวมหนี้สิน และเงินสะสม</t>
  </si>
  <si>
    <t>อากรการฆ่าสัตว์</t>
  </si>
  <si>
    <t>ภาษีบำรุง อบจ.จากสถานค้าปลีกยาสูบ</t>
  </si>
  <si>
    <t>ภาษีบำรุง อบจ.จากสถานค้าปลีกน้ำมัน</t>
  </si>
  <si>
    <t>ค่าธรรมเนียมการฆ่าสัตว์และจำหน่ายเนื่อสัตว์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</si>
  <si>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</si>
  <si>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</si>
  <si>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ค่าธรรมเนียมเกี่ยวกับการทะเบียนราษฎร</t>
  </si>
  <si>
    <t>ค่าปรับอื่นๆ</t>
  </si>
  <si>
    <t>ค่าใบอนุญาตจัดตั้งตลาด</t>
  </si>
  <si>
    <t>ค่าใบอนุญาตจัดตั้งสถานที่จำหน่ายอาหารหรือสถานที่สะสมอาหาร</t>
  </si>
  <si>
    <t>ค่าใบอนุญาตจำหน่ายสินค้าในที่หรือทางสาธารณะ</t>
  </si>
  <si>
    <t>ค่าใบอนุญาตโฆษณาใช้เสียง</t>
  </si>
  <si>
    <t>ค่าใบอนุญาตรับจ้างแต่งผม</t>
  </si>
  <si>
    <t>ค่าใบอนุญาตให้ใช้สถานที่แต่งผม</t>
  </si>
  <si>
    <t>ค่าใบอนุญาตประกอบการค้าที่เป็นอันตรายต่อสุขภาพ</t>
  </si>
  <si>
    <t>ค่าธรรมเนียมตรวจแปลน</t>
  </si>
  <si>
    <t>ค่าธรรมเนียมเกี่ยวกับการส่งเสริมและ</t>
  </si>
  <si>
    <t>รักษาสุขภาพสิ่งแวดล้อมแห่งชาติ</t>
  </si>
  <si>
    <t>ค่าธรรมเนียมบำรุง อบจ.จากผู้เช่าพักในโรงแรม</t>
  </si>
  <si>
    <t>ค่าปรับผู้กระทำความผิดกฎหมายการจดระเบียบจอดยานยนต์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</si>
  <si>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</si>
  <si>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</si>
  <si>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ค่าปรับผู้กระทำผิดกฎหมายและข้อบังคับท้องถิ่น</t>
  </si>
  <si>
    <t>ค่าปรับการผิดสัญญา</t>
  </si>
  <si>
    <t>ค่าใบอนุญาตรับการทำเก็บ ขน หรือกำจัด</t>
  </si>
  <si>
    <t xml:space="preserve"> สิ่งปฎิกูลหรือมูลฝอย</t>
  </si>
  <si>
    <t>ค่าใบอนุญาตวางของขาย</t>
  </si>
  <si>
    <t>สะสมอาหารในอาคารหรือพื้นที่ใด ซึ่งมีพื้นที่เกิน 200 ตารางเมตร</t>
  </si>
  <si>
    <t xml:space="preserve">ค่าธรรมเนียมปิดแผ่นป้ายประกาศ หรือเขียนข้อความ หรือภาพ 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</si>
  <si>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</si>
  <si>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</si>
  <si>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</si>
  <si>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ค่าใบอนุญาตใช้สถานที่แต่งผม</t>
  </si>
  <si>
    <t>ค่าเช่าที่ดิน</t>
  </si>
  <si>
    <t>ค่าเช่าหรือค่าบริการสถานที่</t>
  </si>
  <si>
    <t xml:space="preserve">ดอกเบี้ยเงินฝาก </t>
  </si>
  <si>
    <t>ดอกเบี้ย ก.ส.ท.</t>
  </si>
  <si>
    <t>ดอกเบี้ยเงินฝากธนาคาร</t>
  </si>
  <si>
    <t>หมวดรายได้จากสาธาณูปโภคและกรพาณิชย์</t>
  </si>
  <si>
    <t>เงินช่วยเหลือท้องถิ่นจากกิจการเฉพาะการ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</si>
  <si>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</si>
  <si>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 (ไม่แยกเป็นงบเฉพาะการ)</t>
  </si>
  <si>
    <t>หมวดรายได้เบ็ดเตล็ด</t>
  </si>
  <si>
    <t>เงินที่มีผู้อุทิศให้</t>
  </si>
  <si>
    <t>ค่าขายแบบแปลน</t>
  </si>
  <si>
    <t>ค่าจำหน่ายแบบพิมพ์และคำร้อง</t>
  </si>
  <si>
    <t>ค่าสมัครสมาชิกสภาเทศบาล</t>
  </si>
  <si>
    <t>ค่ารับรองสำเนาและถ่ายเอกสาร</t>
  </si>
  <si>
    <t>ค่าสมัตสมาชิกห้องสมุด</t>
  </si>
  <si>
    <t>ขายน้ำยาง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</si>
  <si>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</si>
  <si>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</si>
  <si>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</si>
  <si>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</si>
  <si>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ภาษีและค่าธรรมเนียมรถยนต์หรือล้อเลื่อน</t>
  </si>
  <si>
    <t xml:space="preserve">ภาษีมูลค่าเพิ่ม 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</si>
  <si>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</si>
  <si>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</si>
  <si>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</si>
  <si>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</si>
  <si>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ภาษีการพนัน</t>
  </si>
  <si>
    <t>แสตมป์ยาสูบ</t>
  </si>
  <si>
    <t>ค่าภาคหลวงและค่าธรรมเนียมป่าไม้</t>
  </si>
  <si>
    <t>ค่าภาคหลวงแร่</t>
  </si>
  <si>
    <t>ค่าหลวงปิโตรเลียม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</si>
  <si>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</si>
  <si>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ค่าธรรมเนียมจดทะเบียนสิทธิและนิติกรรมที่ดิน</t>
  </si>
  <si>
    <t>อากรประทานบัตรและอาญาบัตรประมง</t>
  </si>
  <si>
    <t>อากรรังนกอีแอ่น</t>
  </si>
  <si>
    <t>ค่าธรรมเนียมน้ำบาดาลและใช้น้ำบาดาล</t>
  </si>
  <si>
    <t>ค่าธรรมเนียมสนามบิน</t>
  </si>
  <si>
    <t>รายได้ที่รัฐบาลอุดหนุนให้องค์กรปกครองส่วนท้องถิ่น</t>
  </si>
  <si>
    <t>เงินอุดหนุนทั่วไป</t>
  </si>
  <si>
    <t>เงินอุดหนุนทั่วไประบุวัตถุประสงค์</t>
  </si>
  <si>
    <t xml:space="preserve">                     เงินอุดหนุนอาหารเสริมนม</t>
  </si>
  <si>
    <t xml:space="preserve">                     เงินอุดหนุนอาหารกลางวัน</t>
  </si>
  <si>
    <t xml:space="preserve">                       เงินอุดหนุนสาธารณสุขมูลฐาน</t>
  </si>
  <si>
    <t xml:space="preserve">                          เงินอุดหนุนผู้ด้อยโอกาสเขตเมือง</t>
  </si>
  <si>
    <t xml:space="preserve">                                เงินอุดหนุนโครงการส่งเสริมกิจการสตรี</t>
  </si>
  <si>
    <t xml:space="preserve">                             เงินอุดหนุนแก้ไขปัญหาความยากจน</t>
  </si>
  <si>
    <t xml:space="preserve">                      เงินอุดหนุนเบี้ยยังชีพคนชรา</t>
  </si>
  <si>
    <t xml:space="preserve">                      เงินอุดหนุนเบี้ยยังชีพผู้พิการ</t>
  </si>
  <si>
    <t xml:space="preserve">                                 เงินอุดหนุนค่าใช้สอยศูนย์พัฒนาเด็กเล็ก</t>
  </si>
  <si>
    <t xml:space="preserve">                                 เงินอุดหนุนบริการสาธารณสุข (อสม.)</t>
  </si>
  <si>
    <t xml:space="preserve">                          เงินอุดหนุนเบี้ยยังชีพผู้ป่วยเอดส์</t>
  </si>
  <si>
    <t xml:space="preserve">                        เงินอุดหนุนสนับสนุนการศึกษาอบรม</t>
  </si>
  <si>
    <t xml:space="preserve">                        เงินอุดหนุนค่าอุปกรณ์พัฒนาเด็ก</t>
  </si>
  <si>
    <t>เงินอุดหนุนระบุวัตถุประสงค์</t>
  </si>
  <si>
    <t>(3)</t>
  </si>
  <si>
    <t>เงินอุดหนุนกรณีต่างๆที่ต้องนำมาตั้งงบประมาณ (ถ้ามี)</t>
  </si>
  <si>
    <t>รายได้ที่รัฐบาลอุดหนุนให้โดยระบุวัตถุประสงค์หมวดเงินอุดหนุนเฉพาะกิจ</t>
  </si>
  <si>
    <t>หมวดเงินอุดหนุนเฉพาะกิจ</t>
  </si>
  <si>
    <t>เงินอุดหนุนด้านการศึกษา</t>
  </si>
  <si>
    <t>เงินอุดหนุนเฉพาะกิจจาก</t>
  </si>
  <si>
    <t>กรมการปกครอง</t>
  </si>
  <si>
    <t>กระทรวงวิทยาศาสตร์</t>
  </si>
  <si>
    <t>การท่องเที่ยวแห่งประเทศไทย</t>
  </si>
  <si>
    <t>การเคหะแห่งชาติ</t>
  </si>
  <si>
    <t>กระทรวงสาธารณสุข</t>
  </si>
  <si>
    <t>กรมโยธาธิการ</t>
  </si>
  <si>
    <t>สำนักงานเร่งรัดพัฒนาชนบท</t>
  </si>
  <si>
    <t>ศึกษาธิการ</t>
  </si>
  <si>
    <t>รวมรายรับ</t>
  </si>
  <si>
    <t>บัญชีรายจ่าย</t>
  </si>
  <si>
    <t>รายจ่ายที่จ่ายจากรายรับให้ขึ้นต้นด้วย หมายเลข 5</t>
  </si>
  <si>
    <t>รายจ่ายที่จ่ายจากเงินอุดหนุนทั่วไปให้ขึ้นต้นด้วย หมายเลข 6</t>
  </si>
  <si>
    <t>รายจ่ายที่จ่ายจากเงินอุดหนุนเฉพาะกิจให้ให้ขึ้นต้นด้วย หมายเลข 7</t>
  </si>
  <si>
    <t>รายจ่ายที่จ่ายจากเงินกู้ให้ขึ้นต้นด้วย หมายเลข 8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</si>
  <si>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</si>
  <si>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</si>
  <si>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</si>
  <si>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</si>
  <si>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</si>
  <si>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</si>
  <si>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</si>
  <si>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วีสดุการเกษตร</t>
  </si>
  <si>
    <t>วัสดุโฆษณาและเผยแพร่</t>
  </si>
  <si>
    <t>วัดุเครื่องแต่งกาย</t>
  </si>
  <si>
    <t>วัสดุกีฬา</t>
  </si>
  <si>
    <t>วัสดุคอมพิวเตอร์</t>
  </si>
  <si>
    <t>รายจ่ายจากเงินอุดหนุนวัตถุประสงค์</t>
  </si>
  <si>
    <t>ค่าครุภัณฑ์</t>
  </si>
  <si>
    <t>ค่าที่ดินและสิ่งก่อสร้าง</t>
  </si>
  <si>
    <t>รวมรายจ่าย</t>
  </si>
  <si>
    <t>เงินอุดหนุนเฉพาะกิจ</t>
  </si>
  <si>
    <t>ประกันซอง</t>
  </si>
  <si>
    <t>1  ก.ย. 52</t>
  </si>
  <si>
    <t>1  ก.ย. 52 -30  ก.ย. 52</t>
  </si>
  <si>
    <t>30  ก.ย. 52</t>
  </si>
  <si>
    <t>ภาษีหน้ากีฎา</t>
  </si>
  <si>
    <t>บัญชีรายจ่ายค้างจ่าย (ปี 52)</t>
  </si>
  <si>
    <t xml:space="preserve">ค่าวัสดุ </t>
  </si>
  <si>
    <t>รายจ่ายอื่น(ท)</t>
  </si>
  <si>
    <t>ปิดบัญชี</t>
  </si>
  <si>
    <t>ระหว่างเดือน</t>
  </si>
  <si>
    <t>เงินเดือน -ฝ่ายประจำ</t>
  </si>
  <si>
    <t>เงินเดือน - ฝ่ายการเมือง</t>
  </si>
  <si>
    <t xml:space="preserve"> - ค่าฌาปนกิจ</t>
  </si>
  <si>
    <t>เงินยืมเงินงบประมาณ</t>
  </si>
  <si>
    <t>ณ  วันที่  31  มกราคม  2553</t>
  </si>
  <si>
    <t>1 ม.ค. 53</t>
  </si>
  <si>
    <t>1 -31 ม.ค. 53</t>
  </si>
  <si>
    <t>31 ม.ค. 53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</si>
</sst>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#,##0;\(#,##0\)"/>
    <numFmt numFmtId="201" formatCode="_-* #,##0.000_-;\-* #,##0.000_-;_-* &quot;-&quot;??_-;_-@_-"/>
    <numFmt numFmtId="202" formatCode="_-* #,##0_-;\-* #,##0_-;_-* &quot;-&quot;??_-;_-@_-"/>
  </numFmts>
  <fonts count="16">
    <font>
      <sz val="10"/>
      <name val="Arial"/>
      <family val="0"/>
    </font>
    <font>
      <sz val="8"/>
      <name val="Arial"/>
      <family val="0"/>
    </font>
    <font>
      <b/>
      <sz val="20"/>
      <name val="AngsanaUPC"/>
      <family val="1"/>
    </font>
    <font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18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43" fontId="3" fillId="0" borderId="0" xfId="17" applyFont="1" applyFill="1" applyAlignment="1" applyProtection="1">
      <alignment/>
      <protection/>
    </xf>
    <xf numFmtId="43" fontId="4" fillId="0" borderId="1" xfId="17" applyFont="1" applyFill="1" applyBorder="1" applyAlignment="1" applyProtection="1">
      <alignment/>
      <protection/>
    </xf>
    <xf numFmtId="43" fontId="4" fillId="0" borderId="0" xfId="17" applyFont="1" applyFill="1" applyBorder="1" applyAlignment="1" applyProtection="1">
      <alignment/>
      <protection/>
    </xf>
    <xf numFmtId="43" fontId="4" fillId="0" borderId="0" xfId="17" applyFont="1" applyFill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43" fontId="5" fillId="0" borderId="8" xfId="17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43" fontId="6" fillId="0" borderId="10" xfId="17" applyFont="1" applyFill="1" applyBorder="1" applyAlignment="1" applyProtection="1">
      <alignment/>
      <protection locked="0"/>
    </xf>
    <xf numFmtId="43" fontId="6" fillId="0" borderId="10" xfId="17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20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43" fontId="6" fillId="0" borderId="10" xfId="17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20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43" fontId="6" fillId="0" borderId="16" xfId="17" applyFont="1" applyFill="1" applyBorder="1" applyAlignment="1" applyProtection="1">
      <alignment horizontal="center"/>
      <protection locked="0"/>
    </xf>
    <xf numFmtId="43" fontId="6" fillId="0" borderId="16" xfId="17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/>
      <protection locked="0"/>
    </xf>
    <xf numFmtId="43" fontId="6" fillId="0" borderId="17" xfId="17" applyFont="1" applyFill="1" applyBorder="1" applyAlignment="1" applyProtection="1">
      <alignment horizontal="center"/>
      <protection locked="0"/>
    </xf>
    <xf numFmtId="43" fontId="6" fillId="0" borderId="17" xfId="17" applyFont="1" applyFill="1" applyBorder="1" applyAlignment="1" applyProtection="1">
      <alignment/>
      <protection locked="0"/>
    </xf>
    <xf numFmtId="43" fontId="6" fillId="0" borderId="17" xfId="17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/>
      <protection locked="0"/>
    </xf>
    <xf numFmtId="43" fontId="6" fillId="0" borderId="0" xfId="17" applyFont="1" applyFill="1" applyAlignment="1" applyProtection="1">
      <alignment/>
      <protection locked="0"/>
    </xf>
    <xf numFmtId="43" fontId="4" fillId="0" borderId="0" xfId="17" applyFont="1" applyFill="1" applyAlignment="1" applyProtection="1">
      <alignment/>
      <protection locked="0"/>
    </xf>
    <xf numFmtId="43" fontId="6" fillId="2" borderId="10" xfId="17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 quotePrefix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43" fontId="4" fillId="0" borderId="12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00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200" fontId="4" fillId="0" borderId="12" xfId="0" applyNumberFormat="1" applyFont="1" applyFill="1" applyBorder="1" applyAlignment="1" applyProtection="1">
      <alignment/>
      <protection locked="0"/>
    </xf>
    <xf numFmtId="43" fontId="8" fillId="0" borderId="10" xfId="17" applyFont="1" applyFill="1" applyBorder="1" applyAlignment="1" applyProtection="1">
      <alignment/>
      <protection locked="0"/>
    </xf>
    <xf numFmtId="43" fontId="8" fillId="0" borderId="10" xfId="17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20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22" xfId="0" applyNumberFormat="1" applyFont="1" applyFill="1" applyBorder="1" applyAlignment="1" applyProtection="1">
      <alignment horizontal="center"/>
      <protection locked="0"/>
    </xf>
    <xf numFmtId="43" fontId="6" fillId="0" borderId="23" xfId="17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/>
      <protection locked="0"/>
    </xf>
    <xf numFmtId="43" fontId="9" fillId="0" borderId="10" xfId="17" applyFont="1" applyFill="1" applyBorder="1" applyAlignment="1" applyProtection="1">
      <alignment/>
      <protection locked="0"/>
    </xf>
    <xf numFmtId="43" fontId="9" fillId="0" borderId="10" xfId="17" applyFont="1" applyFill="1" applyBorder="1" applyAlignment="1" applyProtection="1">
      <alignment/>
      <protection/>
    </xf>
    <xf numFmtId="43" fontId="10" fillId="0" borderId="8" xfId="17" applyFont="1" applyFill="1" applyBorder="1" applyAlignment="1" applyProtection="1">
      <alignment horizontal="center"/>
      <protection locked="0"/>
    </xf>
    <xf numFmtId="43" fontId="10" fillId="0" borderId="8" xfId="17" applyFont="1" applyFill="1" applyBorder="1" applyAlignment="1" applyProtection="1">
      <alignment horizontal="center"/>
      <protection/>
    </xf>
    <xf numFmtId="43" fontId="10" fillId="0" borderId="24" xfId="17" applyFont="1" applyFill="1" applyBorder="1" applyAlignment="1" applyProtection="1">
      <alignment horizontal="center"/>
      <protection locked="0"/>
    </xf>
    <xf numFmtId="43" fontId="10" fillId="0" borderId="24" xfId="17" applyFont="1" applyFill="1" applyBorder="1" applyAlignment="1" applyProtection="1">
      <alignment horizontal="center"/>
      <protection/>
    </xf>
    <xf numFmtId="43" fontId="10" fillId="0" borderId="17" xfId="17" applyFont="1" applyFill="1" applyBorder="1" applyAlignment="1" applyProtection="1">
      <alignment horizontal="center"/>
      <protection locked="0"/>
    </xf>
    <xf numFmtId="43" fontId="10" fillId="0" borderId="17" xfId="17" applyFont="1" applyFill="1" applyBorder="1" applyAlignment="1" applyProtection="1">
      <alignment horizontal="center"/>
      <protection/>
    </xf>
    <xf numFmtId="43" fontId="10" fillId="0" borderId="25" xfId="17" applyFont="1" applyFill="1" applyBorder="1" applyAlignment="1" applyProtection="1">
      <alignment horizontal="center"/>
      <protection locked="0"/>
    </xf>
    <xf numFmtId="43" fontId="9" fillId="0" borderId="10" xfId="17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/>
      <protection locked="0"/>
    </xf>
    <xf numFmtId="43" fontId="6" fillId="0" borderId="27" xfId="17" applyFont="1" applyFill="1" applyBorder="1" applyAlignment="1" applyProtection="1">
      <alignment horizontal="center"/>
      <protection locked="0"/>
    </xf>
    <xf numFmtId="43" fontId="6" fillId="0" borderId="27" xfId="17" applyFont="1" applyFill="1" applyBorder="1" applyAlignment="1" applyProtection="1">
      <alignment/>
      <protection locked="0"/>
    </xf>
    <xf numFmtId="43" fontId="6" fillId="0" borderId="27" xfId="17" applyFont="1" applyFill="1" applyBorder="1" applyAlignment="1" applyProtection="1">
      <alignment/>
      <protection/>
    </xf>
    <xf numFmtId="20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43" fontId="6" fillId="0" borderId="23" xfId="17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left"/>
      <protection locked="0"/>
    </xf>
    <xf numFmtId="200" fontId="4" fillId="0" borderId="28" xfId="0" applyNumberFormat="1" applyFont="1" applyFill="1" applyBorder="1" applyAlignment="1" applyProtection="1">
      <alignment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200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43" fontId="6" fillId="0" borderId="8" xfId="17" applyFont="1" applyFill="1" applyBorder="1" applyAlignment="1" applyProtection="1">
      <alignment/>
      <protection locked="0"/>
    </xf>
    <xf numFmtId="43" fontId="6" fillId="0" borderId="8" xfId="17" applyFont="1" applyFill="1" applyBorder="1" applyAlignment="1" applyProtection="1">
      <alignment/>
      <protection/>
    </xf>
    <xf numFmtId="43" fontId="13" fillId="0" borderId="10" xfId="17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/>
      <protection locked="0"/>
    </xf>
    <xf numFmtId="43" fontId="9" fillId="0" borderId="0" xfId="17" applyFont="1" applyFill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43" fontId="6" fillId="0" borderId="8" xfId="17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200" fontId="4" fillId="0" borderId="33" xfId="0" applyNumberFormat="1" applyFont="1" applyFill="1" applyBorder="1" applyAlignment="1" applyProtection="1">
      <alignment horizontal="center"/>
      <protection locked="0"/>
    </xf>
    <xf numFmtId="200" fontId="4" fillId="0" borderId="33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34" xfId="0" applyNumberFormat="1" applyFont="1" applyFill="1" applyBorder="1" applyAlignment="1" applyProtection="1">
      <alignment horizontal="center"/>
      <protection locked="0"/>
    </xf>
    <xf numFmtId="43" fontId="6" fillId="0" borderId="35" xfId="17" applyFont="1" applyFill="1" applyBorder="1" applyAlignment="1" applyProtection="1">
      <alignment/>
      <protection locked="0"/>
    </xf>
    <xf numFmtId="43" fontId="6" fillId="0" borderId="35" xfId="17" applyFont="1" applyFill="1" applyBorder="1" applyAlignment="1" applyProtection="1">
      <alignment/>
      <protection/>
    </xf>
    <xf numFmtId="200" fontId="5" fillId="0" borderId="21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3" fontId="9" fillId="0" borderId="35" xfId="17" applyFont="1" applyFill="1" applyBorder="1" applyAlignment="1" applyProtection="1">
      <alignment/>
      <protection locked="0"/>
    </xf>
    <xf numFmtId="200" fontId="4" fillId="0" borderId="14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43" fontId="6" fillId="0" borderId="0" xfId="17" applyFont="1" applyFill="1" applyAlignment="1" applyProtection="1">
      <alignment/>
      <protection/>
    </xf>
    <xf numFmtId="43" fontId="8" fillId="0" borderId="8" xfId="17" applyFont="1" applyFill="1" applyBorder="1" applyAlignment="1" applyProtection="1">
      <alignment horizontal="center"/>
      <protection/>
    </xf>
    <xf numFmtId="43" fontId="9" fillId="0" borderId="11" xfId="17" applyFont="1" applyFill="1" applyBorder="1" applyAlignment="1" applyProtection="1">
      <alignment/>
      <protection/>
    </xf>
    <xf numFmtId="43" fontId="6" fillId="0" borderId="36" xfId="17" applyFont="1" applyFill="1" applyBorder="1" applyAlignment="1" applyProtection="1">
      <alignment/>
      <protection/>
    </xf>
    <xf numFmtId="43" fontId="6" fillId="0" borderId="13" xfId="17" applyFont="1" applyFill="1" applyBorder="1" applyAlignment="1" applyProtection="1">
      <alignment/>
      <protection/>
    </xf>
    <xf numFmtId="43" fontId="10" fillId="0" borderId="30" xfId="17" applyFont="1" applyFill="1" applyBorder="1" applyAlignment="1" applyProtection="1">
      <alignment horizontal="center"/>
      <protection/>
    </xf>
    <xf numFmtId="43" fontId="6" fillId="0" borderId="11" xfId="17" applyFont="1" applyFill="1" applyBorder="1" applyAlignment="1" applyProtection="1">
      <alignment/>
      <protection/>
    </xf>
    <xf numFmtId="43" fontId="10" fillId="0" borderId="30" xfId="17" applyFont="1" applyFill="1" applyBorder="1" applyAlignment="1" applyProtection="1">
      <alignment horizontal="center"/>
      <protection locked="0"/>
    </xf>
    <xf numFmtId="43" fontId="10" fillId="0" borderId="37" xfId="17" applyFont="1" applyFill="1" applyBorder="1" applyAlignment="1" applyProtection="1">
      <alignment horizontal="center"/>
      <protection/>
    </xf>
    <xf numFmtId="43" fontId="10" fillId="0" borderId="13" xfId="17" applyFont="1" applyFill="1" applyBorder="1" applyAlignment="1" applyProtection="1">
      <alignment horizontal="center"/>
      <protection/>
    </xf>
    <xf numFmtId="43" fontId="6" fillId="0" borderId="32" xfId="17" applyFont="1" applyFill="1" applyBorder="1" applyAlignment="1" applyProtection="1">
      <alignment/>
      <protection/>
    </xf>
    <xf numFmtId="43" fontId="6" fillId="0" borderId="20" xfId="17" applyFont="1" applyFill="1" applyBorder="1" applyAlignment="1" applyProtection="1">
      <alignment/>
      <protection/>
    </xf>
    <xf numFmtId="43" fontId="9" fillId="0" borderId="32" xfId="17" applyFont="1" applyFill="1" applyBorder="1" applyAlignment="1" applyProtection="1">
      <alignment/>
      <protection/>
    </xf>
    <xf numFmtId="43" fontId="10" fillId="0" borderId="10" xfId="17" applyFont="1" applyFill="1" applyBorder="1" applyAlignment="1" applyProtection="1">
      <alignment horizontal="center"/>
      <protection/>
    </xf>
    <xf numFmtId="43" fontId="6" fillId="0" borderId="30" xfId="17" applyFont="1" applyFill="1" applyBorder="1" applyAlignment="1" applyProtection="1">
      <alignment/>
      <protection/>
    </xf>
    <xf numFmtId="43" fontId="6" fillId="0" borderId="29" xfId="17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 locked="0"/>
    </xf>
    <xf numFmtId="200" fontId="9" fillId="0" borderId="12" xfId="0" applyNumberFormat="1" applyFont="1" applyFill="1" applyBorder="1" applyAlignment="1" applyProtection="1">
      <alignment horizontal="left"/>
      <protection locked="0"/>
    </xf>
    <xf numFmtId="0" fontId="9" fillId="0" borderId="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43" fontId="10" fillId="0" borderId="10" xfId="17" applyFont="1" applyFill="1" applyBorder="1" applyAlignment="1" applyProtection="1">
      <alignment/>
      <protection locked="0"/>
    </xf>
    <xf numFmtId="43" fontId="9" fillId="0" borderId="35" xfId="17" applyFont="1" applyFill="1" applyBorder="1" applyAlignment="1" applyProtection="1">
      <alignment/>
      <protection/>
    </xf>
    <xf numFmtId="200" fontId="4" fillId="0" borderId="21" xfId="0" applyNumberFormat="1" applyFont="1" applyFill="1" applyBorder="1" applyAlignment="1" applyProtection="1">
      <alignment/>
      <protection locked="0"/>
    </xf>
    <xf numFmtId="43" fontId="10" fillId="0" borderId="16" xfId="17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left"/>
      <protection locked="0"/>
    </xf>
    <xf numFmtId="43" fontId="6" fillId="0" borderId="16" xfId="17" applyFont="1" applyFill="1" applyBorder="1" applyAlignment="1" applyProtection="1">
      <alignment/>
      <protection/>
    </xf>
    <xf numFmtId="49" fontId="4" fillId="0" borderId="28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200" fontId="5" fillId="0" borderId="31" xfId="0" applyNumberFormat="1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/>
      <protection locked="0"/>
    </xf>
    <xf numFmtId="0" fontId="5" fillId="0" borderId="8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20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43" fontId="6" fillId="0" borderId="25" xfId="17" applyFont="1" applyFill="1" applyBorder="1" applyAlignment="1" applyProtection="1">
      <alignment/>
      <protection locked="0"/>
    </xf>
    <xf numFmtId="43" fontId="6" fillId="0" borderId="25" xfId="17" applyFont="1" applyFill="1" applyBorder="1" applyAlignment="1" applyProtection="1">
      <alignment/>
      <protection/>
    </xf>
    <xf numFmtId="43" fontId="6" fillId="0" borderId="6" xfId="17" applyFont="1" applyFill="1" applyBorder="1" applyAlignment="1" applyProtection="1">
      <alignment/>
      <protection/>
    </xf>
    <xf numFmtId="43" fontId="9" fillId="0" borderId="8" xfId="17" applyFont="1" applyFill="1" applyBorder="1" applyAlignment="1" applyProtection="1">
      <alignment/>
      <protection/>
    </xf>
    <xf numFmtId="43" fontId="9" fillId="0" borderId="30" xfId="17" applyFont="1" applyFill="1" applyBorder="1" applyAlignment="1" applyProtection="1">
      <alignment/>
      <protection/>
    </xf>
    <xf numFmtId="43" fontId="9" fillId="0" borderId="8" xfId="17" applyFont="1" applyFill="1" applyBorder="1" applyAlignment="1" applyProtection="1">
      <alignment/>
      <protection locked="0"/>
    </xf>
    <xf numFmtId="43" fontId="4" fillId="0" borderId="35" xfId="17" applyFont="1" applyFill="1" applyBorder="1" applyAlignment="1" applyProtection="1">
      <alignment/>
      <protection locked="0"/>
    </xf>
    <xf numFmtId="43" fontId="4" fillId="0" borderId="10" xfId="17" applyFont="1" applyFill="1" applyBorder="1" applyAlignment="1" applyProtection="1">
      <alignment/>
      <protection locked="0"/>
    </xf>
    <xf numFmtId="43" fontId="5" fillId="0" borderId="10" xfId="17" applyFont="1" applyFill="1" applyBorder="1" applyAlignment="1" applyProtection="1">
      <alignment/>
      <protection locked="0"/>
    </xf>
    <xf numFmtId="43" fontId="4" fillId="2" borderId="10" xfId="17" applyFont="1" applyFill="1" applyBorder="1" applyAlignment="1" applyProtection="1">
      <alignment/>
      <protection locked="0"/>
    </xf>
    <xf numFmtId="43" fontId="9" fillId="0" borderId="0" xfId="17" applyFont="1" applyFill="1" applyAlignment="1" applyProtection="1">
      <alignment/>
      <protection/>
    </xf>
    <xf numFmtId="43" fontId="9" fillId="2" borderId="10" xfId="17" applyFont="1" applyFill="1" applyBorder="1" applyAlignment="1" applyProtection="1">
      <alignment/>
      <protection locked="0"/>
    </xf>
    <xf numFmtId="43" fontId="14" fillId="0" borderId="10" xfId="17" applyFont="1" applyFill="1" applyBorder="1" applyAlignment="1" applyProtection="1">
      <alignment/>
      <protection locked="0"/>
    </xf>
    <xf numFmtId="43" fontId="15" fillId="0" borderId="8" xfId="17" applyFont="1" applyFill="1" applyBorder="1" applyAlignment="1" applyProtection="1">
      <alignment horizontal="center"/>
      <protection locked="0"/>
    </xf>
    <xf numFmtId="43" fontId="15" fillId="0" borderId="24" xfId="17" applyFont="1" applyFill="1" applyBorder="1" applyAlignment="1" applyProtection="1">
      <alignment horizontal="center"/>
      <protection locked="0"/>
    </xf>
    <xf numFmtId="43" fontId="15" fillId="0" borderId="16" xfId="17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43" fontId="9" fillId="0" borderId="23" xfId="17" applyFont="1" applyFill="1" applyBorder="1" applyAlignment="1" applyProtection="1">
      <alignment/>
      <protection locked="0"/>
    </xf>
    <xf numFmtId="43" fontId="4" fillId="0" borderId="23" xfId="17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43" fontId="9" fillId="0" borderId="25" xfId="17" applyFont="1" applyFill="1" applyBorder="1" applyAlignment="1" applyProtection="1">
      <alignment/>
      <protection/>
    </xf>
    <xf numFmtId="43" fontId="9" fillId="0" borderId="20" xfId="17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/>
      <protection locked="0"/>
    </xf>
    <xf numFmtId="200" fontId="4" fillId="0" borderId="31" xfId="0" applyNumberFormat="1" applyFont="1" applyFill="1" applyBorder="1" applyAlignment="1" applyProtection="1">
      <alignment/>
      <protection locked="0"/>
    </xf>
    <xf numFmtId="43" fontId="14" fillId="0" borderId="8" xfId="17" applyFont="1" applyFill="1" applyBorder="1" applyAlignment="1" applyProtection="1">
      <alignment horizontal="center"/>
      <protection/>
    </xf>
    <xf numFmtId="43" fontId="5" fillId="0" borderId="0" xfId="17" applyFont="1" applyFill="1" applyAlignment="1" applyProtection="1">
      <alignment/>
      <protection locked="0"/>
    </xf>
    <xf numFmtId="43" fontId="4" fillId="2" borderId="0" xfId="17" applyFont="1" applyFill="1" applyAlignment="1" applyProtection="1">
      <alignment/>
      <protection locked="0"/>
    </xf>
    <xf numFmtId="43" fontId="4" fillId="0" borderId="28" xfId="17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43" fontId="14" fillId="0" borderId="24" xfId="17" applyFont="1" applyFill="1" applyBorder="1" applyAlignment="1" applyProtection="1">
      <alignment horizontal="center"/>
      <protection/>
    </xf>
    <xf numFmtId="43" fontId="2" fillId="0" borderId="0" xfId="17" applyFont="1" applyFill="1" applyAlignment="1" applyProtection="1">
      <alignment horizontal="center"/>
      <protection/>
    </xf>
    <xf numFmtId="43" fontId="8" fillId="0" borderId="2" xfId="17" applyFont="1" applyFill="1" applyBorder="1" applyAlignment="1" applyProtection="1">
      <alignment horizontal="center"/>
      <protection/>
    </xf>
    <xf numFmtId="43" fontId="8" fillId="0" borderId="4" xfId="17" applyFont="1" applyFill="1" applyBorder="1" applyAlignment="1" applyProtection="1">
      <alignment horizontal="center"/>
      <protection/>
    </xf>
    <xf numFmtId="43" fontId="5" fillId="0" borderId="2" xfId="17" applyFont="1" applyFill="1" applyBorder="1" applyAlignment="1" applyProtection="1">
      <alignment horizontal="center"/>
      <protection/>
    </xf>
    <xf numFmtId="43" fontId="5" fillId="0" borderId="4" xfId="17" applyFont="1" applyFill="1" applyBorder="1" applyAlignment="1" applyProtection="1">
      <alignment horizontal="center"/>
      <protection/>
    </xf>
    <xf numFmtId="43" fontId="8" fillId="0" borderId="6" xfId="17" applyFont="1" applyFill="1" applyBorder="1" applyAlignment="1" applyProtection="1">
      <alignment horizontal="center"/>
      <protection/>
    </xf>
    <xf numFmtId="43" fontId="8" fillId="0" borderId="7" xfId="17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43" fontId="5" fillId="0" borderId="6" xfId="17" applyFont="1" applyFill="1" applyBorder="1" applyAlignment="1" applyProtection="1">
      <alignment horizontal="center"/>
      <protection/>
    </xf>
    <xf numFmtId="43" fontId="5" fillId="0" borderId="7" xfId="17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6" xfId="17" applyNumberFormat="1" applyFont="1" applyFill="1" applyBorder="1" applyAlignment="1" applyProtection="1">
      <alignment horizontal="center"/>
      <protection/>
    </xf>
    <xf numFmtId="49" fontId="5" fillId="0" borderId="7" xfId="17" applyNumberFormat="1" applyFont="1" applyFill="1" applyBorder="1" applyAlignment="1" applyProtection="1">
      <alignment horizontal="center"/>
      <protection/>
    </xf>
    <xf numFmtId="49" fontId="8" fillId="0" borderId="6" xfId="17" applyNumberFormat="1" applyFont="1" applyFill="1" applyBorder="1" applyAlignment="1" applyProtection="1">
      <alignment horizontal="center"/>
      <protection/>
    </xf>
    <xf numFmtId="49" fontId="8" fillId="0" borderId="7" xfId="17" applyNumberFormat="1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2524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0</xdr:rowOff>
    </xdr:from>
    <xdr:to>
      <xdr:col>11</xdr:col>
      <xdr:colOff>0</xdr:colOff>
      <xdr:row>251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2524125" y="1875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314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2524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250</xdr:row>
      <xdr:rowOff>0</xdr:rowOff>
    </xdr:from>
    <xdr:to>
      <xdr:col>11</xdr:col>
      <xdr:colOff>0</xdr:colOff>
      <xdr:row>250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2524125" y="18421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25241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&#3610;&#3594;.5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ื้อเริ่มต้น"/>
      <sheetName val="วิเคราะห์51"/>
      <sheetName val="ปรับปรุง"/>
      <sheetName val="งบฐานะ"/>
      <sheetName val="งบทรัพย์สิน50"/>
      <sheetName val="งบทรัพย์50"/>
      <sheetName val="แหล่งทรัพย50"/>
      <sheetName val="หมาย2เงินสดเงินฝาก"/>
      <sheetName val="หมายเหตุ 4"/>
      <sheetName val="หมายเหตุ 3"/>
      <sheetName val="หมาย 6"/>
      <sheetName val="หมายเหต 7"/>
      <sheetName val="เงินประกัน"/>
      <sheetName val="หมายเหตุ 1"/>
      <sheetName val="จ่าย-รับรวม "/>
      <sheetName val="รายงานเงินสะสม"/>
      <sheetName val="เงินสะสม"/>
    </sheetNames>
    <sheetDataSet>
      <sheetData sheetId="0">
        <row r="3">
          <cell r="A3" t="str">
            <v>เทศบาลตำบลบางจาก</v>
          </cell>
        </row>
        <row r="28">
          <cell r="C28" t="str">
            <v>กันยายน</v>
          </cell>
          <cell r="D28">
            <v>2551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Y595"/>
  <sheetViews>
    <sheetView tabSelected="1" view="pageBreakPreview" zoomScale="110" zoomScaleSheetLayoutView="110" workbookViewId="0" topLeftCell="A1">
      <pane xSplit="38" ySplit="7" topLeftCell="AS8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T16" sqref="AT16"/>
    </sheetView>
  </sheetViews>
  <sheetFormatPr defaultColWidth="9.140625" defaultRowHeight="12.75"/>
  <cols>
    <col min="1" max="1" width="1.28515625" style="42" customWidth="1"/>
    <col min="2" max="2" width="4.140625" style="28" customWidth="1"/>
    <col min="3" max="3" width="2.00390625" style="33" customWidth="1"/>
    <col min="4" max="4" width="4.57421875" style="33" customWidth="1"/>
    <col min="5" max="5" width="5.28125" style="33" customWidth="1"/>
    <col min="6" max="6" width="2.421875" style="33" customWidth="1"/>
    <col min="7" max="7" width="2.28125" style="33" hidden="1" customWidth="1"/>
    <col min="8" max="8" width="1.28515625" style="33" customWidth="1"/>
    <col min="9" max="10" width="6.57421875" style="33" customWidth="1"/>
    <col min="11" max="11" width="3.7109375" style="33" customWidth="1"/>
    <col min="12" max="12" width="0.2890625" style="43" hidden="1" customWidth="1"/>
    <col min="13" max="13" width="11.28125" style="45" hidden="1" customWidth="1"/>
    <col min="14" max="14" width="10.28125" style="45" hidden="1" customWidth="1"/>
    <col min="15" max="15" width="0.42578125" style="45" hidden="1" customWidth="1"/>
    <col min="16" max="24" width="14.7109375" style="45" hidden="1" customWidth="1"/>
    <col min="25" max="25" width="0.2890625" style="45" hidden="1" customWidth="1"/>
    <col min="26" max="30" width="14.7109375" style="45" hidden="1" customWidth="1"/>
    <col min="31" max="31" width="0.13671875" style="45" hidden="1" customWidth="1"/>
    <col min="32" max="32" width="15.7109375" style="45" hidden="1" customWidth="1"/>
    <col min="33" max="36" width="14.7109375" style="45" hidden="1" customWidth="1"/>
    <col min="37" max="37" width="14.140625" style="45" hidden="1" customWidth="1"/>
    <col min="38" max="38" width="14.00390625" style="45" hidden="1" customWidth="1"/>
    <col min="39" max="39" width="11.28125" style="45" hidden="1" customWidth="1"/>
    <col min="40" max="40" width="1.8515625" style="45" hidden="1" customWidth="1"/>
    <col min="41" max="44" width="10.8515625" style="44" hidden="1" customWidth="1"/>
    <col min="45" max="45" width="10.8515625" style="44" customWidth="1"/>
    <col min="46" max="46" width="10.7109375" style="44" customWidth="1"/>
    <col min="47" max="47" width="10.7109375" style="102" customWidth="1"/>
    <col min="48" max="48" width="10.421875" style="102" customWidth="1"/>
    <col min="49" max="49" width="11.28125" style="45" customWidth="1"/>
    <col min="50" max="50" width="10.57421875" style="102" customWidth="1"/>
    <col min="51" max="51" width="13.140625" style="45" customWidth="1"/>
    <col min="52" max="16384" width="9.140625" style="17" customWidth="1"/>
  </cols>
  <sheetData>
    <row r="1" spans="1:50" s="1" customFormat="1" ht="25.5" customHeight="1">
      <c r="A1" s="191" t="str">
        <f>'[1]ชื้อเริ่มต้น'!A3</f>
        <v>เทศบาลตำบลบางจาก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</row>
    <row r="2" spans="1:50" s="1" customFormat="1" ht="25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</row>
    <row r="3" spans="1:50" s="1" customFormat="1" ht="28.5" customHeight="1">
      <c r="A3" s="191" t="s">
        <v>289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</row>
    <row r="4" spans="1:50" s="4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3"/>
      <c r="AK4" s="3"/>
      <c r="AL4" s="3"/>
      <c r="AO4" s="122"/>
      <c r="AP4" s="122"/>
      <c r="AQ4" s="122"/>
      <c r="AR4" s="122"/>
      <c r="AS4" s="122"/>
      <c r="AT4" s="122"/>
      <c r="AU4" s="168"/>
      <c r="AV4" s="168"/>
      <c r="AX4" s="168"/>
    </row>
    <row r="5" spans="1:51" s="8" customFormat="1" ht="21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194" t="s">
        <v>2</v>
      </c>
      <c r="N5" s="195"/>
      <c r="O5" s="194" t="s">
        <v>21</v>
      </c>
      <c r="P5" s="195"/>
      <c r="Q5" s="194" t="s">
        <v>21</v>
      </c>
      <c r="R5" s="195"/>
      <c r="S5" s="194" t="s">
        <v>21</v>
      </c>
      <c r="T5" s="195"/>
      <c r="U5" s="194" t="s">
        <v>21</v>
      </c>
      <c r="V5" s="195"/>
      <c r="W5" s="194" t="s">
        <v>21</v>
      </c>
      <c r="X5" s="195"/>
      <c r="Y5" s="194" t="s">
        <v>21</v>
      </c>
      <c r="Z5" s="195"/>
      <c r="AA5" s="194" t="s">
        <v>21</v>
      </c>
      <c r="AB5" s="195"/>
      <c r="AC5" s="194" t="s">
        <v>21</v>
      </c>
      <c r="AD5" s="195"/>
      <c r="AE5" s="194" t="s">
        <v>21</v>
      </c>
      <c r="AF5" s="195"/>
      <c r="AG5" s="194" t="s">
        <v>21</v>
      </c>
      <c r="AH5" s="195"/>
      <c r="AI5" s="194" t="s">
        <v>21</v>
      </c>
      <c r="AJ5" s="195"/>
      <c r="AK5" s="194" t="s">
        <v>21</v>
      </c>
      <c r="AL5" s="195"/>
      <c r="AM5" s="194" t="s">
        <v>22</v>
      </c>
      <c r="AN5" s="195"/>
      <c r="AO5" s="192" t="s">
        <v>3</v>
      </c>
      <c r="AP5" s="193"/>
      <c r="AQ5" s="192" t="s">
        <v>4</v>
      </c>
      <c r="AR5" s="193"/>
      <c r="AS5" s="192" t="s">
        <v>13</v>
      </c>
      <c r="AT5" s="193"/>
      <c r="AU5" s="192" t="s">
        <v>284</v>
      </c>
      <c r="AV5" s="193"/>
      <c r="AW5" s="192" t="s">
        <v>3</v>
      </c>
      <c r="AX5" s="193"/>
      <c r="AY5" s="4"/>
    </row>
    <row r="6" spans="1:51" s="8" customFormat="1" ht="21" customHeight="1">
      <c r="A6" s="217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9"/>
      <c r="M6" s="219" t="s">
        <v>276</v>
      </c>
      <c r="N6" s="220"/>
      <c r="O6" s="212" t="s">
        <v>23</v>
      </c>
      <c r="P6" s="213"/>
      <c r="Q6" s="212" t="s">
        <v>24</v>
      </c>
      <c r="R6" s="213"/>
      <c r="S6" s="212" t="s">
        <v>25</v>
      </c>
      <c r="T6" s="213"/>
      <c r="U6" s="212" t="s">
        <v>26</v>
      </c>
      <c r="V6" s="213"/>
      <c r="W6" s="212" t="s">
        <v>27</v>
      </c>
      <c r="X6" s="213"/>
      <c r="Y6" s="212" t="s">
        <v>28</v>
      </c>
      <c r="Z6" s="213"/>
      <c r="AA6" s="212" t="s">
        <v>29</v>
      </c>
      <c r="AB6" s="213"/>
      <c r="AC6" s="212" t="s">
        <v>30</v>
      </c>
      <c r="AD6" s="213"/>
      <c r="AE6" s="212" t="s">
        <v>31</v>
      </c>
      <c r="AF6" s="213"/>
      <c r="AG6" s="212" t="s">
        <v>32</v>
      </c>
      <c r="AH6" s="213"/>
      <c r="AI6" s="212" t="s">
        <v>33</v>
      </c>
      <c r="AJ6" s="213"/>
      <c r="AK6" s="212" t="str">
        <f>'[1]ชื้อเริ่มต้น'!C28&amp;" "&amp;'[1]ชื้อเริ่มต้น'!D28</f>
        <v>กันยายน 2551</v>
      </c>
      <c r="AL6" s="213"/>
      <c r="AM6" s="212" t="s">
        <v>277</v>
      </c>
      <c r="AN6" s="213"/>
      <c r="AO6" s="221" t="s">
        <v>278</v>
      </c>
      <c r="AP6" s="222"/>
      <c r="AQ6" s="196" t="s">
        <v>283</v>
      </c>
      <c r="AR6" s="197"/>
      <c r="AS6" s="196" t="s">
        <v>290</v>
      </c>
      <c r="AT6" s="197"/>
      <c r="AU6" s="196" t="s">
        <v>291</v>
      </c>
      <c r="AV6" s="197"/>
      <c r="AW6" s="196" t="s">
        <v>292</v>
      </c>
      <c r="AX6" s="197"/>
      <c r="AY6" s="4"/>
    </row>
    <row r="7" spans="1:51" s="8" customFormat="1" ht="20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3" t="s">
        <v>34</v>
      </c>
      <c r="N7" s="13" t="s">
        <v>35</v>
      </c>
      <c r="O7" s="13" t="s">
        <v>34</v>
      </c>
      <c r="P7" s="13" t="s">
        <v>35</v>
      </c>
      <c r="Q7" s="13" t="s">
        <v>34</v>
      </c>
      <c r="R7" s="13" t="s">
        <v>35</v>
      </c>
      <c r="S7" s="13" t="s">
        <v>34</v>
      </c>
      <c r="T7" s="13" t="s">
        <v>35</v>
      </c>
      <c r="U7" s="13" t="s">
        <v>34</v>
      </c>
      <c r="V7" s="13" t="s">
        <v>35</v>
      </c>
      <c r="W7" s="13" t="s">
        <v>34</v>
      </c>
      <c r="X7" s="13" t="s">
        <v>35</v>
      </c>
      <c r="Y7" s="13" t="s">
        <v>34</v>
      </c>
      <c r="Z7" s="13" t="s">
        <v>35</v>
      </c>
      <c r="AA7" s="13" t="s">
        <v>34</v>
      </c>
      <c r="AB7" s="13" t="s">
        <v>35</v>
      </c>
      <c r="AC7" s="13" t="s">
        <v>34</v>
      </c>
      <c r="AD7" s="13" t="s">
        <v>35</v>
      </c>
      <c r="AE7" s="13" t="s">
        <v>34</v>
      </c>
      <c r="AF7" s="13" t="s">
        <v>35</v>
      </c>
      <c r="AG7" s="13" t="s">
        <v>34</v>
      </c>
      <c r="AH7" s="13" t="s">
        <v>35</v>
      </c>
      <c r="AI7" s="13" t="s">
        <v>34</v>
      </c>
      <c r="AJ7" s="13" t="s">
        <v>35</v>
      </c>
      <c r="AK7" s="13" t="s">
        <v>34</v>
      </c>
      <c r="AL7" s="13" t="s">
        <v>35</v>
      </c>
      <c r="AM7" s="13" t="s">
        <v>34</v>
      </c>
      <c r="AN7" s="13" t="s">
        <v>35</v>
      </c>
      <c r="AO7" s="123" t="s">
        <v>34</v>
      </c>
      <c r="AP7" s="123" t="s">
        <v>35</v>
      </c>
      <c r="AQ7" s="123" t="s">
        <v>34</v>
      </c>
      <c r="AR7" s="123" t="s">
        <v>35</v>
      </c>
      <c r="AS7" s="123" t="s">
        <v>34</v>
      </c>
      <c r="AT7" s="123" t="s">
        <v>35</v>
      </c>
      <c r="AU7" s="75" t="s">
        <v>34</v>
      </c>
      <c r="AV7" s="75" t="s">
        <v>35</v>
      </c>
      <c r="AW7" s="123" t="s">
        <v>34</v>
      </c>
      <c r="AX7" s="75" t="s">
        <v>35</v>
      </c>
      <c r="AY7" s="4"/>
    </row>
    <row r="8" spans="1:50" ht="26.25" customHeight="1">
      <c r="A8" s="202" t="s">
        <v>36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  <c r="AN8" s="16"/>
      <c r="AO8" s="16"/>
      <c r="AP8" s="128"/>
      <c r="AQ8" s="112"/>
      <c r="AR8" s="112"/>
      <c r="AS8" s="112"/>
      <c r="AT8" s="112"/>
      <c r="AU8" s="117"/>
      <c r="AV8" s="117"/>
      <c r="AW8" s="164"/>
      <c r="AX8" s="117"/>
    </row>
    <row r="9" spans="1:50" ht="21" customHeight="1">
      <c r="A9" s="18" t="s">
        <v>37</v>
      </c>
      <c r="B9" s="19"/>
      <c r="C9" s="20"/>
      <c r="D9" s="20"/>
      <c r="E9" s="20"/>
      <c r="F9" s="20"/>
      <c r="G9" s="20"/>
      <c r="H9" s="20"/>
      <c r="I9" s="20"/>
      <c r="J9" s="20"/>
      <c r="K9" s="21"/>
      <c r="L9" s="14"/>
      <c r="M9" s="15">
        <v>0</v>
      </c>
      <c r="N9" s="15"/>
      <c r="O9" s="15"/>
      <c r="P9" s="15">
        <v>1075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>
        <v>22417.18</v>
      </c>
      <c r="AB9" s="15">
        <v>22417.18</v>
      </c>
      <c r="AC9" s="15"/>
      <c r="AD9" s="15"/>
      <c r="AE9" s="15"/>
      <c r="AF9" s="15"/>
      <c r="AG9" s="15"/>
      <c r="AH9" s="15"/>
      <c r="AI9" s="15"/>
      <c r="AJ9" s="15"/>
      <c r="AK9" s="15">
        <v>20</v>
      </c>
      <c r="AL9" s="15"/>
      <c r="AM9" s="16">
        <v>14415.5</v>
      </c>
      <c r="AN9" s="16">
        <v>14415.5</v>
      </c>
      <c r="AO9" s="16">
        <f aca="true" t="shared" si="0" ref="AO9:AO34">M9+AM9-AN9</f>
        <v>0</v>
      </c>
      <c r="AP9" s="128"/>
      <c r="AQ9" s="15"/>
      <c r="AR9" s="15"/>
      <c r="AS9" s="15">
        <f aca="true" t="shared" si="1" ref="AS9:AS39">AO9+AQ9-AR9</f>
        <v>0</v>
      </c>
      <c r="AT9" s="15"/>
      <c r="AU9" s="72">
        <v>617.6</v>
      </c>
      <c r="AV9" s="72">
        <v>617.6</v>
      </c>
      <c r="AW9" s="165">
        <f>AS9+AU9-AV9</f>
        <v>0</v>
      </c>
      <c r="AX9" s="72"/>
    </row>
    <row r="10" spans="1:50" ht="21" customHeight="1" hidden="1">
      <c r="A10" s="18" t="s">
        <v>38</v>
      </c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>
        <v>35000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6"/>
      <c r="AO10" s="16">
        <f t="shared" si="0"/>
        <v>0</v>
      </c>
      <c r="AP10" s="128"/>
      <c r="AQ10" s="15"/>
      <c r="AR10" s="15"/>
      <c r="AS10" s="15">
        <f t="shared" si="1"/>
        <v>0</v>
      </c>
      <c r="AT10" s="15"/>
      <c r="AU10" s="72"/>
      <c r="AV10" s="72"/>
      <c r="AW10" s="165">
        <f aca="true" t="shared" si="2" ref="AW10:AW72">AS10+AU10-AV10</f>
        <v>0</v>
      </c>
      <c r="AX10" s="72"/>
    </row>
    <row r="11" spans="1:50" ht="23.25" hidden="1">
      <c r="A11" s="18" t="s">
        <v>39</v>
      </c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14"/>
      <c r="M11" s="15"/>
      <c r="N11" s="15"/>
      <c r="O11" s="15"/>
      <c r="P11" s="15"/>
      <c r="Q11" s="15"/>
      <c r="R11" s="15"/>
      <c r="S11" s="15">
        <f>1605231.7+45317.55</f>
        <v>1650549.25</v>
      </c>
      <c r="T11" s="15">
        <f>1605231.7+45317.55</f>
        <v>1650549.25</v>
      </c>
      <c r="U11" s="15"/>
      <c r="V11" s="15"/>
      <c r="W11" s="15">
        <v>8501414</v>
      </c>
      <c r="X11" s="15">
        <v>8501414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6"/>
      <c r="AO11" s="16">
        <f t="shared" si="0"/>
        <v>0</v>
      </c>
      <c r="AP11" s="128"/>
      <c r="AQ11" s="15"/>
      <c r="AR11" s="15"/>
      <c r="AS11" s="15">
        <f t="shared" si="1"/>
        <v>0</v>
      </c>
      <c r="AT11" s="15"/>
      <c r="AU11" s="72"/>
      <c r="AV11" s="72"/>
      <c r="AW11" s="165">
        <f t="shared" si="2"/>
        <v>0</v>
      </c>
      <c r="AX11" s="72"/>
    </row>
    <row r="12" spans="1:50" ht="22.5" customHeight="1">
      <c r="A12" s="18" t="s">
        <v>40</v>
      </c>
      <c r="B12" s="19"/>
      <c r="C12" s="20"/>
      <c r="D12" s="20"/>
      <c r="E12" s="20"/>
      <c r="F12" s="20"/>
      <c r="G12" s="20"/>
      <c r="H12" s="20"/>
      <c r="I12" s="20"/>
      <c r="J12" s="20"/>
      <c r="K12" s="21"/>
      <c r="L12" s="14"/>
      <c r="M12" s="15"/>
      <c r="N12" s="15"/>
      <c r="O12" s="15"/>
      <c r="P12" s="15"/>
      <c r="Q12" s="15"/>
      <c r="R12" s="15">
        <v>310000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  <c r="AN12" s="16"/>
      <c r="AO12" s="16">
        <f t="shared" si="0"/>
        <v>0</v>
      </c>
      <c r="AP12" s="128"/>
      <c r="AQ12" s="15"/>
      <c r="AR12" s="15"/>
      <c r="AS12" s="15">
        <f t="shared" si="1"/>
        <v>0</v>
      </c>
      <c r="AT12" s="15"/>
      <c r="AU12" s="72"/>
      <c r="AV12" s="72"/>
      <c r="AW12" s="165">
        <f t="shared" si="2"/>
        <v>0</v>
      </c>
      <c r="AX12" s="72"/>
    </row>
    <row r="13" spans="1:50" ht="23.25" hidden="1">
      <c r="A13" s="18" t="s">
        <v>41</v>
      </c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v>18000000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6"/>
      <c r="AO13" s="16">
        <f t="shared" si="0"/>
        <v>0</v>
      </c>
      <c r="AP13" s="128"/>
      <c r="AQ13" s="15"/>
      <c r="AR13" s="15"/>
      <c r="AS13" s="15">
        <f t="shared" si="1"/>
        <v>0</v>
      </c>
      <c r="AT13" s="15"/>
      <c r="AU13" s="72"/>
      <c r="AV13" s="72"/>
      <c r="AW13" s="165">
        <f t="shared" si="2"/>
        <v>0</v>
      </c>
      <c r="AX13" s="72"/>
    </row>
    <row r="14" spans="1:50" ht="24" customHeight="1">
      <c r="A14" s="18" t="s">
        <v>42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16"/>
      <c r="AO14" s="16">
        <f t="shared" si="0"/>
        <v>0</v>
      </c>
      <c r="AP14" s="128"/>
      <c r="AQ14" s="15"/>
      <c r="AR14" s="15"/>
      <c r="AS14" s="15">
        <f t="shared" si="1"/>
        <v>0</v>
      </c>
      <c r="AT14" s="15"/>
      <c r="AU14" s="72"/>
      <c r="AV14" s="72"/>
      <c r="AW14" s="165">
        <f t="shared" si="2"/>
        <v>0</v>
      </c>
      <c r="AX14" s="72"/>
    </row>
    <row r="15" spans="1:50" ht="24" customHeight="1">
      <c r="A15" s="22" t="s">
        <v>43</v>
      </c>
      <c r="B15" s="23" t="s">
        <v>44</v>
      </c>
      <c r="C15" s="20"/>
      <c r="D15" s="20"/>
      <c r="E15" s="20"/>
      <c r="F15" s="20"/>
      <c r="G15" s="20"/>
      <c r="H15" s="20"/>
      <c r="I15" s="20"/>
      <c r="J15" s="20"/>
      <c r="K15" s="20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16"/>
      <c r="AO15" s="16">
        <f t="shared" si="0"/>
        <v>0</v>
      </c>
      <c r="AP15" s="128"/>
      <c r="AQ15" s="15"/>
      <c r="AR15" s="15"/>
      <c r="AS15" s="15">
        <f t="shared" si="1"/>
        <v>0</v>
      </c>
      <c r="AT15" s="15"/>
      <c r="AU15" s="72"/>
      <c r="AV15" s="72"/>
      <c r="AW15" s="165">
        <f t="shared" si="2"/>
        <v>0</v>
      </c>
      <c r="AX15" s="72"/>
    </row>
    <row r="16" spans="1:50" ht="20.25" customHeight="1">
      <c r="A16" s="22"/>
      <c r="B16" s="23"/>
      <c r="C16" s="20" t="s">
        <v>45</v>
      </c>
      <c r="D16" s="20"/>
      <c r="E16" s="20"/>
      <c r="F16" s="20"/>
      <c r="G16" s="20"/>
      <c r="H16" s="20"/>
      <c r="I16" s="20"/>
      <c r="J16" s="20"/>
      <c r="K16" s="20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6"/>
      <c r="AN16" s="16"/>
      <c r="AO16" s="16">
        <f t="shared" si="0"/>
        <v>0</v>
      </c>
      <c r="AP16" s="128"/>
      <c r="AQ16" s="15"/>
      <c r="AR16" s="15"/>
      <c r="AS16" s="15">
        <f t="shared" si="1"/>
        <v>0</v>
      </c>
      <c r="AT16" s="15"/>
      <c r="AU16" s="72"/>
      <c r="AV16" s="72"/>
      <c r="AW16" s="165">
        <f t="shared" si="2"/>
        <v>0</v>
      </c>
      <c r="AX16" s="72"/>
    </row>
    <row r="17" spans="1:50" ht="21" customHeight="1">
      <c r="A17" s="22"/>
      <c r="B17" s="23"/>
      <c r="C17" s="20"/>
      <c r="D17" s="24" t="s">
        <v>46</v>
      </c>
      <c r="E17" s="20" t="s">
        <v>47</v>
      </c>
      <c r="F17" s="20"/>
      <c r="G17" s="20"/>
      <c r="H17" s="20" t="s">
        <v>48</v>
      </c>
      <c r="I17" s="20"/>
      <c r="J17" s="20" t="s">
        <v>49</v>
      </c>
      <c r="K17" s="20"/>
      <c r="L17" s="14"/>
      <c r="M17" s="15">
        <v>0</v>
      </c>
      <c r="N17" s="15"/>
      <c r="O17" s="15">
        <v>2911946.68</v>
      </c>
      <c r="P17" s="15">
        <v>2911946.68</v>
      </c>
      <c r="Q17" s="15">
        <v>593929.77</v>
      </c>
      <c r="R17" s="15">
        <v>593929.77</v>
      </c>
      <c r="S17" s="15"/>
      <c r="T17" s="15">
        <v>5771732.42</v>
      </c>
      <c r="U17" s="15"/>
      <c r="V17" s="15"/>
      <c r="W17" s="15"/>
      <c r="X17" s="15"/>
      <c r="Y17" s="15">
        <v>18000000</v>
      </c>
      <c r="Z17" s="15">
        <v>18000000</v>
      </c>
      <c r="AA17" s="15">
        <v>783382.32</v>
      </c>
      <c r="AB17" s="15">
        <f>56712.33+726669.99</f>
        <v>783382.32</v>
      </c>
      <c r="AC17" s="15">
        <f>7215977.31+2094919.78</f>
        <v>9310897.09</v>
      </c>
      <c r="AD17" s="15">
        <f>172972.6+7043004.71</f>
        <v>7215977.31</v>
      </c>
      <c r="AE17" s="15"/>
      <c r="AF17" s="15">
        <v>2094919.78</v>
      </c>
      <c r="AG17" s="15">
        <f>2178163.26+1121119.81</f>
        <v>3299283.07</v>
      </c>
      <c r="AH17" s="15">
        <f>85068.49+3214214.58-2093094.77</f>
        <v>1206188.3000000003</v>
      </c>
      <c r="AI17" s="15">
        <v>4762239.84</v>
      </c>
      <c r="AJ17" s="15">
        <f>409356.23+7321.59+4169753.8+2093094.77</f>
        <v>6679526.390000001</v>
      </c>
      <c r="AK17" s="15">
        <f>3100102.8+87041.1</f>
        <v>3187143.9</v>
      </c>
      <c r="AL17" s="15">
        <f>175808.22+87041.1</f>
        <v>262849.32</v>
      </c>
      <c r="AM17" s="73">
        <v>161325.24</v>
      </c>
      <c r="AN17" s="16">
        <v>161325.24</v>
      </c>
      <c r="AO17" s="16">
        <f t="shared" si="0"/>
        <v>0</v>
      </c>
      <c r="AP17" s="128"/>
      <c r="AQ17" s="15"/>
      <c r="AR17" s="15"/>
      <c r="AS17" s="15">
        <f t="shared" si="1"/>
        <v>0</v>
      </c>
      <c r="AT17" s="15"/>
      <c r="AU17" s="72">
        <v>0</v>
      </c>
      <c r="AV17" s="72">
        <v>0</v>
      </c>
      <c r="AW17" s="72">
        <f t="shared" si="2"/>
        <v>0</v>
      </c>
      <c r="AX17" s="72"/>
    </row>
    <row r="18" spans="1:50" ht="22.5" customHeight="1">
      <c r="A18" s="22"/>
      <c r="B18" s="23"/>
      <c r="C18" s="20"/>
      <c r="D18" s="24" t="s">
        <v>46</v>
      </c>
      <c r="E18" s="20" t="str">
        <f>E17</f>
        <v>นครศรีฯ</v>
      </c>
      <c r="F18" s="20"/>
      <c r="G18" s="20"/>
      <c r="H18" s="20" t="s">
        <v>48</v>
      </c>
      <c r="I18" s="20"/>
      <c r="J18" s="20" t="s">
        <v>50</v>
      </c>
      <c r="K18" s="20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73">
        <v>3183038.17</v>
      </c>
      <c r="AN18" s="16">
        <v>3183038.17</v>
      </c>
      <c r="AO18" s="16">
        <f t="shared" si="0"/>
        <v>0</v>
      </c>
      <c r="AP18" s="128"/>
      <c r="AQ18" s="15"/>
      <c r="AR18" s="15"/>
      <c r="AS18" s="15">
        <f t="shared" si="1"/>
        <v>0</v>
      </c>
      <c r="AT18" s="15"/>
      <c r="AU18" s="72">
        <v>1488835.19</v>
      </c>
      <c r="AV18" s="72">
        <v>1488835.19</v>
      </c>
      <c r="AW18" s="15">
        <f t="shared" si="2"/>
        <v>0</v>
      </c>
      <c r="AX18" s="72"/>
    </row>
    <row r="19" spans="1:50" ht="23.25" hidden="1">
      <c r="A19" s="22"/>
      <c r="B19" s="23"/>
      <c r="C19" s="20"/>
      <c r="D19" s="24" t="s">
        <v>46</v>
      </c>
      <c r="E19" s="20" t="s">
        <v>51</v>
      </c>
      <c r="F19" s="20"/>
      <c r="G19" s="20"/>
      <c r="H19" s="20" t="s">
        <v>48</v>
      </c>
      <c r="I19" s="20"/>
      <c r="J19" s="20"/>
      <c r="K19" s="20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6"/>
      <c r="AN19" s="16"/>
      <c r="AO19" s="16">
        <f t="shared" si="0"/>
        <v>0</v>
      </c>
      <c r="AP19" s="128"/>
      <c r="AQ19" s="15"/>
      <c r="AR19" s="15"/>
      <c r="AS19" s="15">
        <f t="shared" si="1"/>
        <v>0</v>
      </c>
      <c r="AT19" s="15"/>
      <c r="AU19" s="72"/>
      <c r="AV19" s="72"/>
      <c r="AW19" s="165">
        <f t="shared" si="2"/>
        <v>0</v>
      </c>
      <c r="AX19" s="72"/>
    </row>
    <row r="20" spans="1:50" ht="23.25" hidden="1">
      <c r="A20" s="22"/>
      <c r="B20" s="23"/>
      <c r="C20" s="20"/>
      <c r="D20" s="24" t="s">
        <v>46</v>
      </c>
      <c r="E20" s="20" t="str">
        <f>E19</f>
        <v>ทุ่งสง</v>
      </c>
      <c r="F20" s="20"/>
      <c r="G20" s="20"/>
      <c r="H20" s="20" t="s">
        <v>48</v>
      </c>
      <c r="I20" s="20"/>
      <c r="J20" s="20">
        <v>4</v>
      </c>
      <c r="K20" s="20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6"/>
      <c r="AN20" s="16"/>
      <c r="AO20" s="16">
        <f t="shared" si="0"/>
        <v>0</v>
      </c>
      <c r="AP20" s="128"/>
      <c r="AQ20" s="15"/>
      <c r="AR20" s="15"/>
      <c r="AS20" s="15">
        <f t="shared" si="1"/>
        <v>0</v>
      </c>
      <c r="AT20" s="15"/>
      <c r="AU20" s="72"/>
      <c r="AV20" s="72"/>
      <c r="AW20" s="165">
        <f t="shared" si="2"/>
        <v>0</v>
      </c>
      <c r="AX20" s="72"/>
    </row>
    <row r="21" spans="1:50" ht="23.25" hidden="1">
      <c r="A21" s="22"/>
      <c r="B21" s="23"/>
      <c r="C21" s="20"/>
      <c r="D21" s="24" t="s">
        <v>46</v>
      </c>
      <c r="E21" s="20" t="str">
        <f>E20</f>
        <v>ทุ่งสง</v>
      </c>
      <c r="F21" s="20"/>
      <c r="G21" s="20"/>
      <c r="H21" s="20" t="s">
        <v>48</v>
      </c>
      <c r="I21" s="20"/>
      <c r="J21" s="20">
        <v>5</v>
      </c>
      <c r="K21" s="20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6"/>
      <c r="AN21" s="16"/>
      <c r="AO21" s="16">
        <f t="shared" si="0"/>
        <v>0</v>
      </c>
      <c r="AP21" s="128"/>
      <c r="AQ21" s="15"/>
      <c r="AR21" s="15"/>
      <c r="AS21" s="15">
        <f t="shared" si="1"/>
        <v>0</v>
      </c>
      <c r="AT21" s="15"/>
      <c r="AU21" s="72"/>
      <c r="AV21" s="72"/>
      <c r="AW21" s="165">
        <f t="shared" si="2"/>
        <v>0</v>
      </c>
      <c r="AX21" s="72"/>
    </row>
    <row r="22" spans="1:50" ht="23.25" hidden="1">
      <c r="A22" s="22"/>
      <c r="B22" s="23"/>
      <c r="C22" s="20"/>
      <c r="D22" s="24"/>
      <c r="E22" s="20"/>
      <c r="F22" s="20"/>
      <c r="G22" s="20"/>
      <c r="H22" s="20"/>
      <c r="I22" s="20"/>
      <c r="J22" s="20"/>
      <c r="K22" s="20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6"/>
      <c r="AN22" s="16"/>
      <c r="AO22" s="16">
        <f t="shared" si="0"/>
        <v>0</v>
      </c>
      <c r="AP22" s="128"/>
      <c r="AQ22" s="15"/>
      <c r="AR22" s="15"/>
      <c r="AS22" s="15">
        <f t="shared" si="1"/>
        <v>0</v>
      </c>
      <c r="AT22" s="15"/>
      <c r="AU22" s="72"/>
      <c r="AV22" s="72"/>
      <c r="AW22" s="165">
        <f t="shared" si="2"/>
        <v>0</v>
      </c>
      <c r="AX22" s="72"/>
    </row>
    <row r="23" spans="1:50" ht="22.5" customHeight="1" hidden="1">
      <c r="A23" s="22"/>
      <c r="B23" s="23"/>
      <c r="C23" s="20" t="s">
        <v>45</v>
      </c>
      <c r="D23" s="20"/>
      <c r="E23" s="20"/>
      <c r="F23" s="20"/>
      <c r="G23" s="20"/>
      <c r="H23" s="20"/>
      <c r="I23" s="20"/>
      <c r="J23" s="20"/>
      <c r="K23" s="20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6"/>
      <c r="AN23" s="16"/>
      <c r="AO23" s="16">
        <f t="shared" si="0"/>
        <v>0</v>
      </c>
      <c r="AP23" s="128"/>
      <c r="AQ23" s="15"/>
      <c r="AR23" s="15"/>
      <c r="AS23" s="15">
        <f t="shared" si="1"/>
        <v>0</v>
      </c>
      <c r="AT23" s="15"/>
      <c r="AU23" s="72"/>
      <c r="AV23" s="72"/>
      <c r="AW23" s="165">
        <f t="shared" si="2"/>
        <v>0</v>
      </c>
      <c r="AX23" s="72"/>
    </row>
    <row r="24" spans="1:50" ht="21" customHeight="1" hidden="1">
      <c r="A24" s="22"/>
      <c r="B24" s="23"/>
      <c r="C24" s="20"/>
      <c r="D24" s="24" t="s">
        <v>46</v>
      </c>
      <c r="E24" s="20" t="s">
        <v>52</v>
      </c>
      <c r="F24" s="20"/>
      <c r="G24" s="20"/>
      <c r="H24" s="20" t="s">
        <v>48</v>
      </c>
      <c r="I24" s="20"/>
      <c r="J24" s="20" t="s">
        <v>53</v>
      </c>
      <c r="K24" s="20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6"/>
      <c r="AN24" s="16"/>
      <c r="AO24" s="16">
        <f t="shared" si="0"/>
        <v>0</v>
      </c>
      <c r="AP24" s="128"/>
      <c r="AQ24" s="15"/>
      <c r="AR24" s="15"/>
      <c r="AS24" s="15">
        <f t="shared" si="1"/>
        <v>0</v>
      </c>
      <c r="AT24" s="15"/>
      <c r="AU24" s="72"/>
      <c r="AV24" s="72"/>
      <c r="AW24" s="165">
        <f t="shared" si="2"/>
        <v>0</v>
      </c>
      <c r="AX24" s="72"/>
    </row>
    <row r="25" spans="1:50" ht="23.25" hidden="1">
      <c r="A25" s="22"/>
      <c r="B25" s="23"/>
      <c r="C25" s="20"/>
      <c r="D25" s="24" t="s">
        <v>46</v>
      </c>
      <c r="E25" s="20" t="str">
        <f>E24</f>
        <v>พิปูน</v>
      </c>
      <c r="F25" s="20"/>
      <c r="G25" s="20"/>
      <c r="H25" s="20" t="s">
        <v>48</v>
      </c>
      <c r="I25" s="20"/>
      <c r="J25" s="20">
        <v>2</v>
      </c>
      <c r="K25" s="20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6"/>
      <c r="AN25" s="16"/>
      <c r="AO25" s="16">
        <f t="shared" si="0"/>
        <v>0</v>
      </c>
      <c r="AP25" s="128"/>
      <c r="AQ25" s="15"/>
      <c r="AR25" s="15"/>
      <c r="AS25" s="15">
        <f t="shared" si="1"/>
        <v>0</v>
      </c>
      <c r="AT25" s="15"/>
      <c r="AU25" s="72"/>
      <c r="AV25" s="72"/>
      <c r="AW25" s="165">
        <f t="shared" si="2"/>
        <v>0</v>
      </c>
      <c r="AX25" s="72"/>
    </row>
    <row r="26" spans="1:50" ht="23.25" hidden="1">
      <c r="A26" s="22"/>
      <c r="B26" s="23"/>
      <c r="C26" s="20"/>
      <c r="D26" s="24" t="s">
        <v>46</v>
      </c>
      <c r="E26" s="20" t="str">
        <f>E25</f>
        <v>พิปูน</v>
      </c>
      <c r="F26" s="20"/>
      <c r="G26" s="20"/>
      <c r="H26" s="20" t="s">
        <v>48</v>
      </c>
      <c r="I26" s="20"/>
      <c r="J26" s="20">
        <v>3</v>
      </c>
      <c r="K26" s="20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  <c r="AN26" s="16"/>
      <c r="AO26" s="16">
        <f t="shared" si="0"/>
        <v>0</v>
      </c>
      <c r="AP26" s="128"/>
      <c r="AQ26" s="15"/>
      <c r="AR26" s="15"/>
      <c r="AS26" s="15">
        <f t="shared" si="1"/>
        <v>0</v>
      </c>
      <c r="AT26" s="15"/>
      <c r="AU26" s="72"/>
      <c r="AV26" s="72"/>
      <c r="AW26" s="165">
        <f t="shared" si="2"/>
        <v>0</v>
      </c>
      <c r="AX26" s="72"/>
    </row>
    <row r="27" spans="1:50" ht="23.25" hidden="1">
      <c r="A27" s="22"/>
      <c r="B27" s="23"/>
      <c r="C27" s="20"/>
      <c r="D27" s="24"/>
      <c r="E27" s="20"/>
      <c r="F27" s="20"/>
      <c r="G27" s="20"/>
      <c r="H27" s="20"/>
      <c r="I27" s="20"/>
      <c r="J27" s="20"/>
      <c r="K27" s="20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  <c r="AN27" s="16"/>
      <c r="AO27" s="16">
        <f t="shared" si="0"/>
        <v>0</v>
      </c>
      <c r="AP27" s="128"/>
      <c r="AQ27" s="15"/>
      <c r="AR27" s="15"/>
      <c r="AS27" s="15">
        <f t="shared" si="1"/>
        <v>0</v>
      </c>
      <c r="AT27" s="15"/>
      <c r="AU27" s="72"/>
      <c r="AV27" s="72"/>
      <c r="AW27" s="165">
        <f t="shared" si="2"/>
        <v>0</v>
      </c>
      <c r="AX27" s="72"/>
    </row>
    <row r="28" spans="1:50" ht="23.25" hidden="1">
      <c r="A28" s="22"/>
      <c r="B28" s="23"/>
      <c r="C28" s="20" t="s">
        <v>54</v>
      </c>
      <c r="D28" s="20"/>
      <c r="E28" s="20"/>
      <c r="F28" s="20"/>
      <c r="G28" s="20"/>
      <c r="H28" s="20"/>
      <c r="I28" s="20"/>
      <c r="J28" s="20"/>
      <c r="K28" s="20"/>
      <c r="L28" s="14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6"/>
      <c r="AN28" s="16"/>
      <c r="AO28" s="16">
        <f t="shared" si="0"/>
        <v>0</v>
      </c>
      <c r="AP28" s="128"/>
      <c r="AQ28" s="15"/>
      <c r="AR28" s="15"/>
      <c r="AS28" s="15">
        <f t="shared" si="1"/>
        <v>0</v>
      </c>
      <c r="AT28" s="15"/>
      <c r="AU28" s="72"/>
      <c r="AV28" s="72"/>
      <c r="AW28" s="165">
        <f t="shared" si="2"/>
        <v>0</v>
      </c>
      <c r="AX28" s="72"/>
    </row>
    <row r="29" spans="1:50" ht="23.25" hidden="1">
      <c r="A29" s="22"/>
      <c r="B29" s="23"/>
      <c r="C29" s="20"/>
      <c r="D29" s="24" t="s">
        <v>46</v>
      </c>
      <c r="E29" s="20" t="s">
        <v>55</v>
      </c>
      <c r="F29" s="20"/>
      <c r="G29" s="20"/>
      <c r="H29" s="20" t="s">
        <v>48</v>
      </c>
      <c r="I29" s="20"/>
      <c r="J29" s="20">
        <v>1</v>
      </c>
      <c r="K29" s="20"/>
      <c r="L29" s="1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  <c r="AN29" s="16"/>
      <c r="AO29" s="16">
        <f t="shared" si="0"/>
        <v>0</v>
      </c>
      <c r="AP29" s="128"/>
      <c r="AQ29" s="15"/>
      <c r="AR29" s="15"/>
      <c r="AS29" s="15">
        <f t="shared" si="1"/>
        <v>0</v>
      </c>
      <c r="AT29" s="15"/>
      <c r="AU29" s="72"/>
      <c r="AV29" s="72"/>
      <c r="AW29" s="165">
        <f t="shared" si="2"/>
        <v>0</v>
      </c>
      <c r="AX29" s="72"/>
    </row>
    <row r="30" spans="1:50" ht="23.25" hidden="1">
      <c r="A30" s="22"/>
      <c r="B30" s="23"/>
      <c r="C30" s="20"/>
      <c r="D30" s="24" t="s">
        <v>46</v>
      </c>
      <c r="E30" s="20" t="str">
        <f>E29</f>
        <v>ฉวาง</v>
      </c>
      <c r="F30" s="20"/>
      <c r="G30" s="20"/>
      <c r="H30" s="20" t="s">
        <v>48</v>
      </c>
      <c r="I30" s="20"/>
      <c r="J30" s="20">
        <v>2</v>
      </c>
      <c r="K30" s="20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6"/>
      <c r="AN30" s="16"/>
      <c r="AO30" s="16">
        <f t="shared" si="0"/>
        <v>0</v>
      </c>
      <c r="AP30" s="128"/>
      <c r="AQ30" s="15"/>
      <c r="AR30" s="15"/>
      <c r="AS30" s="15">
        <f t="shared" si="1"/>
        <v>0</v>
      </c>
      <c r="AT30" s="15"/>
      <c r="AU30" s="72"/>
      <c r="AV30" s="72"/>
      <c r="AW30" s="165">
        <f t="shared" si="2"/>
        <v>0</v>
      </c>
      <c r="AX30" s="72"/>
    </row>
    <row r="31" spans="1:50" ht="23.25" hidden="1">
      <c r="A31" s="22"/>
      <c r="B31" s="23"/>
      <c r="C31" s="20"/>
      <c r="D31" s="24" t="s">
        <v>46</v>
      </c>
      <c r="E31" s="20" t="str">
        <f>E30</f>
        <v>ฉวาง</v>
      </c>
      <c r="F31" s="20"/>
      <c r="G31" s="20"/>
      <c r="H31" s="20" t="s">
        <v>48</v>
      </c>
      <c r="I31" s="20"/>
      <c r="J31" s="20">
        <v>3</v>
      </c>
      <c r="K31" s="20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6"/>
      <c r="AN31" s="16"/>
      <c r="AO31" s="16">
        <f t="shared" si="0"/>
        <v>0</v>
      </c>
      <c r="AP31" s="128"/>
      <c r="AQ31" s="15"/>
      <c r="AR31" s="15"/>
      <c r="AS31" s="15">
        <f t="shared" si="1"/>
        <v>0</v>
      </c>
      <c r="AT31" s="15"/>
      <c r="AU31" s="72"/>
      <c r="AV31" s="72"/>
      <c r="AW31" s="165">
        <f t="shared" si="2"/>
        <v>0</v>
      </c>
      <c r="AX31" s="72"/>
    </row>
    <row r="32" spans="1:50" ht="23.25" hidden="1">
      <c r="A32" s="22"/>
      <c r="B32" s="23"/>
      <c r="C32" s="20" t="str">
        <f>C35</f>
        <v>กรุงไทย</v>
      </c>
      <c r="D32" s="20"/>
      <c r="E32" s="20"/>
      <c r="F32" s="20"/>
      <c r="G32" s="20"/>
      <c r="H32" s="20"/>
      <c r="I32" s="20"/>
      <c r="J32" s="20"/>
      <c r="K32" s="20"/>
      <c r="L32" s="14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6"/>
      <c r="AN32" s="16"/>
      <c r="AO32" s="16">
        <f t="shared" si="0"/>
        <v>0</v>
      </c>
      <c r="AP32" s="128"/>
      <c r="AQ32" s="15"/>
      <c r="AR32" s="15"/>
      <c r="AS32" s="15">
        <f t="shared" si="1"/>
        <v>0</v>
      </c>
      <c r="AT32" s="15"/>
      <c r="AU32" s="72"/>
      <c r="AV32" s="72"/>
      <c r="AW32" s="165">
        <f t="shared" si="2"/>
        <v>0</v>
      </c>
      <c r="AX32" s="72"/>
    </row>
    <row r="33" spans="1:50" ht="23.25" hidden="1">
      <c r="A33" s="22"/>
      <c r="B33" s="23"/>
      <c r="C33" s="20"/>
      <c r="D33" s="20" t="s">
        <v>46</v>
      </c>
      <c r="E33" s="20" t="s">
        <v>51</v>
      </c>
      <c r="F33" s="20"/>
      <c r="G33" s="20"/>
      <c r="H33" s="20" t="s">
        <v>48</v>
      </c>
      <c r="I33" s="20"/>
      <c r="J33" s="20" t="s">
        <v>56</v>
      </c>
      <c r="K33" s="20"/>
      <c r="L33" s="14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41919212.07</v>
      </c>
      <c r="AL33" s="15">
        <v>41919212.07</v>
      </c>
      <c r="AM33" s="16"/>
      <c r="AN33" s="16"/>
      <c r="AO33" s="16">
        <f t="shared" si="0"/>
        <v>0</v>
      </c>
      <c r="AP33" s="128"/>
      <c r="AQ33" s="15"/>
      <c r="AR33" s="15"/>
      <c r="AS33" s="15">
        <f t="shared" si="1"/>
        <v>0</v>
      </c>
      <c r="AT33" s="15"/>
      <c r="AU33" s="72"/>
      <c r="AV33" s="72"/>
      <c r="AW33" s="165">
        <f t="shared" si="2"/>
        <v>0</v>
      </c>
      <c r="AX33" s="72"/>
    </row>
    <row r="34" spans="1:50" ht="21" customHeight="1">
      <c r="A34" s="22" t="s">
        <v>43</v>
      </c>
      <c r="B34" s="23" t="s">
        <v>57</v>
      </c>
      <c r="C34" s="20"/>
      <c r="D34" s="20"/>
      <c r="E34" s="20"/>
      <c r="F34" s="20"/>
      <c r="G34" s="20"/>
      <c r="H34" s="20"/>
      <c r="I34" s="20"/>
      <c r="J34" s="20"/>
      <c r="K34" s="20"/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6"/>
      <c r="AN34" s="16"/>
      <c r="AO34" s="16">
        <f t="shared" si="0"/>
        <v>0</v>
      </c>
      <c r="AP34" s="128"/>
      <c r="AQ34" s="15"/>
      <c r="AR34" s="15"/>
      <c r="AS34" s="15">
        <f t="shared" si="1"/>
        <v>0</v>
      </c>
      <c r="AT34" s="15"/>
      <c r="AU34" s="72"/>
      <c r="AV34" s="72"/>
      <c r="AW34" s="165">
        <f t="shared" si="2"/>
        <v>0</v>
      </c>
      <c r="AX34" s="72"/>
    </row>
    <row r="35" spans="1:50" ht="18" customHeight="1">
      <c r="A35" s="22"/>
      <c r="B35" s="23"/>
      <c r="C35" s="20" t="s">
        <v>45</v>
      </c>
      <c r="D35" s="20"/>
      <c r="E35" s="20"/>
      <c r="F35" s="20"/>
      <c r="G35" s="20"/>
      <c r="H35" s="20"/>
      <c r="I35" s="20"/>
      <c r="J35" s="20"/>
      <c r="K35" s="20"/>
      <c r="L35" s="1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6"/>
      <c r="AN35" s="16"/>
      <c r="AO35" s="16"/>
      <c r="AP35" s="128"/>
      <c r="AQ35" s="15"/>
      <c r="AR35" s="15"/>
      <c r="AS35" s="15">
        <f t="shared" si="1"/>
        <v>0</v>
      </c>
      <c r="AT35" s="15"/>
      <c r="AU35" s="72"/>
      <c r="AV35" s="72"/>
      <c r="AW35" s="165">
        <f t="shared" si="2"/>
        <v>0</v>
      </c>
      <c r="AX35" s="72"/>
    </row>
    <row r="36" spans="1:50" ht="21.75" customHeight="1">
      <c r="A36" s="22"/>
      <c r="B36" s="23"/>
      <c r="C36" s="20"/>
      <c r="D36" s="24" t="s">
        <v>46</v>
      </c>
      <c r="E36" s="20" t="s">
        <v>47</v>
      </c>
      <c r="F36" s="20"/>
      <c r="G36" s="20"/>
      <c r="H36" s="20" t="s">
        <v>48</v>
      </c>
      <c r="I36" s="20"/>
      <c r="J36" s="20" t="s">
        <v>58</v>
      </c>
      <c r="K36" s="20"/>
      <c r="L36" s="14"/>
      <c r="M36" s="15">
        <v>2330596.27</v>
      </c>
      <c r="N36" s="15"/>
      <c r="O36" s="15">
        <f>427611.39-307102.8</f>
        <v>120508.59000000003</v>
      </c>
      <c r="P36" s="15">
        <v>2281252.94</v>
      </c>
      <c r="Q36" s="15">
        <v>368536.75</v>
      </c>
      <c r="R36" s="15">
        <v>3420013.12</v>
      </c>
      <c r="S36" s="15">
        <f>1713552.1+5771732.42</f>
        <v>7485284.52</v>
      </c>
      <c r="T36" s="15">
        <v>2005742.03</v>
      </c>
      <c r="U36" s="15">
        <v>3064192.68</v>
      </c>
      <c r="V36" s="15">
        <v>2543634.24</v>
      </c>
      <c r="W36" s="15">
        <f>9975663.94-19085.19</f>
        <v>9956578.75</v>
      </c>
      <c r="X36" s="15">
        <v>1651137.02</v>
      </c>
      <c r="Y36" s="15">
        <f>18630017.91-18000000</f>
        <v>630017.9100000001</v>
      </c>
      <c r="Z36" s="15">
        <v>4967124.95</v>
      </c>
      <c r="AA36" s="15">
        <v>974266.19</v>
      </c>
      <c r="AB36" s="15">
        <f>2213231.77+56712.33</f>
        <v>2269944.1</v>
      </c>
      <c r="AC36" s="15">
        <f>2342414.51-2094919.78</f>
        <v>247494.72999999975</v>
      </c>
      <c r="AD36" s="15">
        <v>5950281.49</v>
      </c>
      <c r="AE36" s="15">
        <f>7462028.21+1921947.18</f>
        <v>9383975.39</v>
      </c>
      <c r="AF36" s="15">
        <v>3778388.67</v>
      </c>
      <c r="AG36" s="15">
        <f>2295516.86-2178163.26</f>
        <v>117353.6000000001</v>
      </c>
      <c r="AH36" s="15">
        <v>2477505.18</v>
      </c>
      <c r="AI36" s="15">
        <f>1389096.49+2093094.77-6533.29</f>
        <v>3475657.9699999997</v>
      </c>
      <c r="AJ36" s="15">
        <v>3367871.71</v>
      </c>
      <c r="AK36" s="15">
        <f>4928906.29+24627.2-409356.23-175808.22-7321.59+800</f>
        <v>4361847.45</v>
      </c>
      <c r="AL36" s="15">
        <f>7207116.62</f>
        <v>7207116.62</v>
      </c>
      <c r="AM36" s="99">
        <f>2161325.24+74084.16</f>
        <v>2235409.4000000004</v>
      </c>
      <c r="AN36" s="16">
        <f>3183038.17+3000</f>
        <v>3186038.17</v>
      </c>
      <c r="AO36" s="16">
        <f aca="true" t="shared" si="3" ref="AO36:AO42">M36+AM36-AN36</f>
        <v>1379967.5</v>
      </c>
      <c r="AP36" s="128"/>
      <c r="AQ36" s="15"/>
      <c r="AR36" s="15"/>
      <c r="AS36" s="72">
        <v>6713459.94</v>
      </c>
      <c r="AT36" s="15"/>
      <c r="AU36" s="72">
        <f>196270.53+30</f>
        <v>196300.53</v>
      </c>
      <c r="AV36" s="72">
        <v>1488835.19</v>
      </c>
      <c r="AW36" s="72">
        <f t="shared" si="2"/>
        <v>5420925.280000001</v>
      </c>
      <c r="AX36" s="72"/>
    </row>
    <row r="37" spans="1:50" ht="21" customHeight="1">
      <c r="A37" s="22"/>
      <c r="B37" s="23"/>
      <c r="C37" s="20"/>
      <c r="D37" s="24" t="s">
        <v>46</v>
      </c>
      <c r="E37" s="20" t="str">
        <f>E36</f>
        <v>นครศรีฯ</v>
      </c>
      <c r="F37" s="20"/>
      <c r="G37" s="20"/>
      <c r="H37" s="20" t="s">
        <v>48</v>
      </c>
      <c r="I37" s="20"/>
      <c r="J37" s="20" t="s">
        <v>59</v>
      </c>
      <c r="K37" s="20"/>
      <c r="L37" s="14"/>
      <c r="M37" s="15">
        <v>111.23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6"/>
      <c r="AN37" s="16"/>
      <c r="AO37" s="16">
        <f t="shared" si="3"/>
        <v>111.23</v>
      </c>
      <c r="AP37" s="128"/>
      <c r="AQ37" s="15"/>
      <c r="AR37" s="15"/>
      <c r="AS37" s="15">
        <f t="shared" si="1"/>
        <v>111.23</v>
      </c>
      <c r="AT37" s="15"/>
      <c r="AU37" s="72">
        <v>0.21</v>
      </c>
      <c r="AV37" s="72"/>
      <c r="AW37" s="72">
        <f t="shared" si="2"/>
        <v>111.44</v>
      </c>
      <c r="AX37" s="72"/>
    </row>
    <row r="38" spans="1:50" ht="21" customHeight="1" hidden="1">
      <c r="A38" s="22"/>
      <c r="B38" s="23"/>
      <c r="C38" s="20"/>
      <c r="D38" s="24" t="s">
        <v>46</v>
      </c>
      <c r="E38" s="20" t="str">
        <f>E37</f>
        <v>นครศรีฯ</v>
      </c>
      <c r="F38" s="20"/>
      <c r="G38" s="20"/>
      <c r="H38" s="20" t="s">
        <v>48</v>
      </c>
      <c r="I38" s="20"/>
      <c r="J38" s="20">
        <v>3</v>
      </c>
      <c r="K38" s="20"/>
      <c r="L38" s="1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>
        <f t="shared" si="3"/>
        <v>0</v>
      </c>
      <c r="AP38" s="128"/>
      <c r="AQ38" s="15"/>
      <c r="AR38" s="15"/>
      <c r="AS38" s="15">
        <f t="shared" si="1"/>
        <v>0</v>
      </c>
      <c r="AT38" s="15"/>
      <c r="AU38" s="72"/>
      <c r="AV38" s="72"/>
      <c r="AW38" s="72">
        <f t="shared" si="2"/>
        <v>0</v>
      </c>
      <c r="AX38" s="72"/>
    </row>
    <row r="39" spans="1:50" ht="21" customHeight="1" hidden="1">
      <c r="A39" s="22"/>
      <c r="B39" s="23"/>
      <c r="C39" s="20"/>
      <c r="D39" s="24" t="s">
        <v>46</v>
      </c>
      <c r="E39" s="20" t="str">
        <f>E38</f>
        <v>นครศรีฯ</v>
      </c>
      <c r="F39" s="20"/>
      <c r="G39" s="20"/>
      <c r="H39" s="20" t="s">
        <v>48</v>
      </c>
      <c r="I39" s="20"/>
      <c r="J39" s="20">
        <v>4</v>
      </c>
      <c r="K39" s="20"/>
      <c r="L39" s="1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6"/>
      <c r="AN39" s="16"/>
      <c r="AO39" s="16">
        <f t="shared" si="3"/>
        <v>0</v>
      </c>
      <c r="AP39" s="128"/>
      <c r="AQ39" s="15"/>
      <c r="AR39" s="15"/>
      <c r="AS39" s="15">
        <f t="shared" si="1"/>
        <v>0</v>
      </c>
      <c r="AT39" s="15"/>
      <c r="AU39" s="72"/>
      <c r="AV39" s="72"/>
      <c r="AW39" s="72">
        <f t="shared" si="2"/>
        <v>0</v>
      </c>
      <c r="AX39" s="72"/>
    </row>
    <row r="40" spans="1:50" ht="21" customHeight="1" hidden="1">
      <c r="A40" s="22"/>
      <c r="B40" s="23"/>
      <c r="C40" s="20"/>
      <c r="D40" s="24" t="s">
        <v>46</v>
      </c>
      <c r="E40" s="20" t="str">
        <f>E39</f>
        <v>นครศรีฯ</v>
      </c>
      <c r="F40" s="20"/>
      <c r="G40" s="20"/>
      <c r="H40" s="20" t="s">
        <v>48</v>
      </c>
      <c r="I40" s="20"/>
      <c r="J40" s="20">
        <v>5</v>
      </c>
      <c r="K40" s="20"/>
      <c r="L40" s="1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6"/>
      <c r="AN40" s="16"/>
      <c r="AO40" s="16">
        <f t="shared" si="3"/>
        <v>0</v>
      </c>
      <c r="AP40" s="128"/>
      <c r="AQ40" s="15"/>
      <c r="AR40" s="15"/>
      <c r="AS40" s="15">
        <f aca="true" t="shared" si="4" ref="AS40:AS71">AO40+AQ40-AR40</f>
        <v>0</v>
      </c>
      <c r="AT40" s="15"/>
      <c r="AU40" s="72"/>
      <c r="AV40" s="72"/>
      <c r="AW40" s="72">
        <f t="shared" si="2"/>
        <v>0</v>
      </c>
      <c r="AX40" s="72"/>
    </row>
    <row r="41" spans="1:50" ht="21" customHeight="1" hidden="1">
      <c r="A41" s="22"/>
      <c r="B41" s="23"/>
      <c r="C41" s="20"/>
      <c r="D41" s="24"/>
      <c r="E41" s="20"/>
      <c r="F41" s="20"/>
      <c r="G41" s="20"/>
      <c r="H41" s="20"/>
      <c r="I41" s="20"/>
      <c r="J41" s="20"/>
      <c r="K41" s="20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6"/>
      <c r="AN41" s="16"/>
      <c r="AO41" s="16">
        <f t="shared" si="3"/>
        <v>0</v>
      </c>
      <c r="AP41" s="128"/>
      <c r="AQ41" s="15"/>
      <c r="AR41" s="15"/>
      <c r="AS41" s="15">
        <f t="shared" si="4"/>
        <v>0</v>
      </c>
      <c r="AT41" s="15"/>
      <c r="AU41" s="72"/>
      <c r="AV41" s="72"/>
      <c r="AW41" s="72">
        <f t="shared" si="2"/>
        <v>0</v>
      </c>
      <c r="AX41" s="72"/>
    </row>
    <row r="42" spans="1:50" ht="21" customHeight="1" hidden="1">
      <c r="A42" s="22"/>
      <c r="B42" s="23"/>
      <c r="C42" s="20" t="s">
        <v>60</v>
      </c>
      <c r="D42" s="20"/>
      <c r="E42" s="20"/>
      <c r="F42" s="20"/>
      <c r="G42" s="20"/>
      <c r="H42" s="20"/>
      <c r="I42" s="20"/>
      <c r="J42" s="20"/>
      <c r="K42" s="20"/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6"/>
      <c r="AN42" s="16"/>
      <c r="AO42" s="16">
        <f t="shared" si="3"/>
        <v>0</v>
      </c>
      <c r="AP42" s="128"/>
      <c r="AQ42" s="15"/>
      <c r="AR42" s="15"/>
      <c r="AS42" s="15">
        <f t="shared" si="4"/>
        <v>0</v>
      </c>
      <c r="AT42" s="15"/>
      <c r="AU42" s="72"/>
      <c r="AV42" s="72"/>
      <c r="AW42" s="72">
        <f t="shared" si="2"/>
        <v>0</v>
      </c>
      <c r="AX42" s="72"/>
    </row>
    <row r="43" spans="1:50" ht="21" customHeight="1" hidden="1">
      <c r="A43" s="22"/>
      <c r="B43" s="23"/>
      <c r="C43" s="20"/>
      <c r="D43" s="24" t="s">
        <v>46</v>
      </c>
      <c r="E43" s="20" t="s">
        <v>51</v>
      </c>
      <c r="F43" s="20"/>
      <c r="G43" s="20"/>
      <c r="H43" s="20" t="s">
        <v>48</v>
      </c>
      <c r="I43" s="20"/>
      <c r="J43" s="20" t="s">
        <v>61</v>
      </c>
      <c r="K43" s="20"/>
      <c r="L43" s="1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6"/>
      <c r="AN43" s="16"/>
      <c r="AO43" s="16"/>
      <c r="AP43" s="128"/>
      <c r="AQ43" s="15"/>
      <c r="AR43" s="15"/>
      <c r="AS43" s="15">
        <f t="shared" si="4"/>
        <v>0</v>
      </c>
      <c r="AT43" s="15"/>
      <c r="AU43" s="72"/>
      <c r="AV43" s="72"/>
      <c r="AW43" s="72">
        <f t="shared" si="2"/>
        <v>0</v>
      </c>
      <c r="AX43" s="72"/>
    </row>
    <row r="44" spans="1:50" ht="21" customHeight="1" hidden="1">
      <c r="A44" s="22"/>
      <c r="B44" s="23"/>
      <c r="C44" s="20"/>
      <c r="D44" s="24" t="s">
        <v>46</v>
      </c>
      <c r="E44" s="20" t="str">
        <f>E43</f>
        <v>ทุ่งสง</v>
      </c>
      <c r="F44" s="20"/>
      <c r="G44" s="20"/>
      <c r="H44" s="20" t="s">
        <v>48</v>
      </c>
      <c r="I44" s="20"/>
      <c r="J44" s="20" t="s">
        <v>62</v>
      </c>
      <c r="K44" s="20"/>
      <c r="L44" s="1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6"/>
      <c r="AN44" s="16"/>
      <c r="AO44" s="16"/>
      <c r="AP44" s="128"/>
      <c r="AQ44" s="15"/>
      <c r="AR44" s="15"/>
      <c r="AS44" s="15">
        <f t="shared" si="4"/>
        <v>0</v>
      </c>
      <c r="AT44" s="15"/>
      <c r="AU44" s="72"/>
      <c r="AV44" s="72"/>
      <c r="AW44" s="72">
        <f t="shared" si="2"/>
        <v>0</v>
      </c>
      <c r="AX44" s="72"/>
    </row>
    <row r="45" spans="1:50" ht="21" customHeight="1" hidden="1">
      <c r="A45" s="22"/>
      <c r="B45" s="23"/>
      <c r="C45" s="20"/>
      <c r="D45" s="24" t="s">
        <v>46</v>
      </c>
      <c r="E45" s="20" t="str">
        <f>E44</f>
        <v>ทุ่งสง</v>
      </c>
      <c r="F45" s="20"/>
      <c r="G45" s="20"/>
      <c r="H45" s="20" t="s">
        <v>48</v>
      </c>
      <c r="I45" s="20"/>
      <c r="J45" s="20" t="s">
        <v>63</v>
      </c>
      <c r="K45" s="20"/>
      <c r="L45" s="1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6"/>
      <c r="AN45" s="16"/>
      <c r="AO45" s="16"/>
      <c r="AP45" s="128"/>
      <c r="AQ45" s="15"/>
      <c r="AR45" s="15"/>
      <c r="AS45" s="15">
        <f t="shared" si="4"/>
        <v>0</v>
      </c>
      <c r="AT45" s="15"/>
      <c r="AU45" s="72"/>
      <c r="AV45" s="72"/>
      <c r="AW45" s="72">
        <f t="shared" si="2"/>
        <v>0</v>
      </c>
      <c r="AX45" s="72"/>
    </row>
    <row r="46" spans="1:50" ht="21" customHeight="1" hidden="1">
      <c r="A46" s="22"/>
      <c r="B46" s="23"/>
      <c r="C46" s="20"/>
      <c r="D46" s="24" t="s">
        <v>46</v>
      </c>
      <c r="E46" s="20" t="s">
        <v>51</v>
      </c>
      <c r="F46" s="20"/>
      <c r="G46" s="20"/>
      <c r="H46" s="20" t="s">
        <v>48</v>
      </c>
      <c r="I46" s="20"/>
      <c r="J46" s="20" t="s">
        <v>64</v>
      </c>
      <c r="K46" s="20"/>
      <c r="L46" s="1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6"/>
      <c r="AN46" s="16"/>
      <c r="AO46" s="16"/>
      <c r="AP46" s="128"/>
      <c r="AQ46" s="15"/>
      <c r="AR46" s="15"/>
      <c r="AS46" s="15">
        <f t="shared" si="4"/>
        <v>0</v>
      </c>
      <c r="AT46" s="15"/>
      <c r="AU46" s="72"/>
      <c r="AV46" s="72"/>
      <c r="AW46" s="72">
        <f t="shared" si="2"/>
        <v>0</v>
      </c>
      <c r="AX46" s="72"/>
    </row>
    <row r="47" spans="1:50" ht="21" customHeight="1" hidden="1">
      <c r="A47" s="22"/>
      <c r="B47" s="23"/>
      <c r="C47" s="20" t="s">
        <v>65</v>
      </c>
      <c r="D47" s="20"/>
      <c r="E47" s="20"/>
      <c r="F47" s="20"/>
      <c r="G47" s="20"/>
      <c r="H47" s="20"/>
      <c r="I47" s="20"/>
      <c r="J47" s="20"/>
      <c r="K47" s="20"/>
      <c r="L47" s="1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6"/>
      <c r="AN47" s="16"/>
      <c r="AO47" s="16">
        <f>M47+AM47-AN47</f>
        <v>0</v>
      </c>
      <c r="AP47" s="128"/>
      <c r="AQ47" s="15"/>
      <c r="AR47" s="15"/>
      <c r="AS47" s="15">
        <f t="shared" si="4"/>
        <v>0</v>
      </c>
      <c r="AT47" s="15"/>
      <c r="AU47" s="72"/>
      <c r="AV47" s="72"/>
      <c r="AW47" s="72">
        <f t="shared" si="2"/>
        <v>0</v>
      </c>
      <c r="AX47" s="72"/>
    </row>
    <row r="48" spans="1:50" ht="19.5" customHeight="1" hidden="1">
      <c r="A48" s="22"/>
      <c r="B48" s="23"/>
      <c r="C48" s="20"/>
      <c r="D48" s="24" t="s">
        <v>46</v>
      </c>
      <c r="E48" s="20" t="s">
        <v>66</v>
      </c>
      <c r="F48" s="20"/>
      <c r="G48" s="20"/>
      <c r="H48" s="20" t="s">
        <v>48</v>
      </c>
      <c r="I48" s="20"/>
      <c r="J48" s="20" t="s">
        <v>67</v>
      </c>
      <c r="K48" s="20"/>
      <c r="L48" s="1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6"/>
      <c r="AN48" s="16"/>
      <c r="AO48" s="16"/>
      <c r="AP48" s="128"/>
      <c r="AQ48" s="15"/>
      <c r="AR48" s="15"/>
      <c r="AS48" s="15">
        <f t="shared" si="4"/>
        <v>0</v>
      </c>
      <c r="AT48" s="15"/>
      <c r="AU48" s="72"/>
      <c r="AV48" s="72"/>
      <c r="AW48" s="72">
        <f t="shared" si="2"/>
        <v>0</v>
      </c>
      <c r="AX48" s="72"/>
    </row>
    <row r="49" spans="1:50" ht="23.25" hidden="1">
      <c r="A49" s="22"/>
      <c r="B49" s="23"/>
      <c r="C49" s="20"/>
      <c r="D49" s="24" t="s">
        <v>46</v>
      </c>
      <c r="E49" s="20" t="str">
        <f>E48</f>
        <v>จันดี</v>
      </c>
      <c r="F49" s="20"/>
      <c r="G49" s="20"/>
      <c r="H49" s="20" t="s">
        <v>48</v>
      </c>
      <c r="I49" s="20"/>
      <c r="J49" s="20">
        <v>2</v>
      </c>
      <c r="K49" s="20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6"/>
      <c r="AN49" s="16"/>
      <c r="AO49" s="16">
        <f aca="true" t="shared" si="5" ref="AO49:AO64">M49+AM49-AN49</f>
        <v>0</v>
      </c>
      <c r="AP49" s="128"/>
      <c r="AQ49" s="15"/>
      <c r="AR49" s="15"/>
      <c r="AS49" s="15">
        <f t="shared" si="4"/>
        <v>0</v>
      </c>
      <c r="AT49" s="15"/>
      <c r="AU49" s="72"/>
      <c r="AV49" s="72"/>
      <c r="AW49" s="72">
        <f t="shared" si="2"/>
        <v>0</v>
      </c>
      <c r="AX49" s="72"/>
    </row>
    <row r="50" spans="1:50" ht="23.25" hidden="1">
      <c r="A50" s="22"/>
      <c r="B50" s="23"/>
      <c r="C50" s="20"/>
      <c r="D50" s="24" t="s">
        <v>46</v>
      </c>
      <c r="E50" s="20" t="str">
        <f>E49</f>
        <v>จันดี</v>
      </c>
      <c r="F50" s="20"/>
      <c r="G50" s="20"/>
      <c r="H50" s="20" t="s">
        <v>48</v>
      </c>
      <c r="I50" s="20"/>
      <c r="J50" s="20">
        <v>3</v>
      </c>
      <c r="K50" s="20"/>
      <c r="L50" s="1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6"/>
      <c r="AN50" s="16"/>
      <c r="AO50" s="16">
        <f t="shared" si="5"/>
        <v>0</v>
      </c>
      <c r="AP50" s="128"/>
      <c r="AQ50" s="15"/>
      <c r="AR50" s="15"/>
      <c r="AS50" s="15">
        <f t="shared" si="4"/>
        <v>0</v>
      </c>
      <c r="AT50" s="15"/>
      <c r="AU50" s="72"/>
      <c r="AV50" s="72"/>
      <c r="AW50" s="72">
        <f t="shared" si="2"/>
        <v>0</v>
      </c>
      <c r="AX50" s="72"/>
    </row>
    <row r="51" spans="1:50" ht="23.25" hidden="1">
      <c r="A51" s="22"/>
      <c r="B51" s="23"/>
      <c r="C51" s="20"/>
      <c r="D51" s="20"/>
      <c r="E51" s="20"/>
      <c r="F51" s="20"/>
      <c r="G51" s="20"/>
      <c r="H51" s="20"/>
      <c r="I51" s="20"/>
      <c r="J51" s="20"/>
      <c r="K51" s="20"/>
      <c r="L51" s="1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6"/>
      <c r="AN51" s="16"/>
      <c r="AO51" s="16">
        <f t="shared" si="5"/>
        <v>0</v>
      </c>
      <c r="AP51" s="128"/>
      <c r="AQ51" s="15"/>
      <c r="AR51" s="15"/>
      <c r="AS51" s="15">
        <f t="shared" si="4"/>
        <v>0</v>
      </c>
      <c r="AT51" s="15"/>
      <c r="AU51" s="72"/>
      <c r="AV51" s="72"/>
      <c r="AW51" s="72">
        <f t="shared" si="2"/>
        <v>0</v>
      </c>
      <c r="AX51" s="72"/>
    </row>
    <row r="52" spans="1:50" ht="24" customHeight="1">
      <c r="A52" s="22" t="s">
        <v>43</v>
      </c>
      <c r="B52" s="23" t="s">
        <v>68</v>
      </c>
      <c r="C52" s="20"/>
      <c r="D52" s="20"/>
      <c r="E52" s="20"/>
      <c r="F52" s="20"/>
      <c r="G52" s="20"/>
      <c r="H52" s="20"/>
      <c r="I52" s="20"/>
      <c r="J52" s="20"/>
      <c r="K52" s="20"/>
      <c r="L52" s="1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6"/>
      <c r="AN52" s="16"/>
      <c r="AO52" s="16">
        <f t="shared" si="5"/>
        <v>0</v>
      </c>
      <c r="AP52" s="128"/>
      <c r="AQ52" s="15"/>
      <c r="AR52" s="15"/>
      <c r="AS52" s="15">
        <f t="shared" si="4"/>
        <v>0</v>
      </c>
      <c r="AT52" s="15"/>
      <c r="AU52" s="72"/>
      <c r="AV52" s="72"/>
      <c r="AW52" s="72">
        <f t="shared" si="2"/>
        <v>0</v>
      </c>
      <c r="AX52" s="72"/>
    </row>
    <row r="53" spans="1:50" ht="23.25" hidden="1">
      <c r="A53" s="22"/>
      <c r="B53" s="23"/>
      <c r="C53" s="20" t="s">
        <v>45</v>
      </c>
      <c r="D53" s="20"/>
      <c r="E53" s="20"/>
      <c r="F53" s="20"/>
      <c r="G53" s="20"/>
      <c r="H53" s="20"/>
      <c r="I53" s="20"/>
      <c r="J53" s="20"/>
      <c r="K53" s="20"/>
      <c r="L53" s="1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6"/>
      <c r="AN53" s="16"/>
      <c r="AO53" s="16">
        <f t="shared" si="5"/>
        <v>0</v>
      </c>
      <c r="AP53" s="128"/>
      <c r="AQ53" s="15"/>
      <c r="AR53" s="15"/>
      <c r="AS53" s="15">
        <f t="shared" si="4"/>
        <v>0</v>
      </c>
      <c r="AT53" s="15"/>
      <c r="AU53" s="72"/>
      <c r="AV53" s="72"/>
      <c r="AW53" s="72">
        <f t="shared" si="2"/>
        <v>0</v>
      </c>
      <c r="AX53" s="72"/>
    </row>
    <row r="54" spans="1:50" ht="23.25" hidden="1">
      <c r="A54" s="22"/>
      <c r="B54" s="23"/>
      <c r="C54" s="20"/>
      <c r="D54" s="24" t="s">
        <v>46</v>
      </c>
      <c r="E54" s="20" t="s">
        <v>55</v>
      </c>
      <c r="F54" s="20"/>
      <c r="G54" s="20"/>
      <c r="H54" s="20" t="s">
        <v>48</v>
      </c>
      <c r="I54" s="20"/>
      <c r="J54" s="20">
        <v>1</v>
      </c>
      <c r="K54" s="20"/>
      <c r="L54" s="1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6"/>
      <c r="AN54" s="16"/>
      <c r="AO54" s="16">
        <f t="shared" si="5"/>
        <v>0</v>
      </c>
      <c r="AP54" s="128"/>
      <c r="AQ54" s="15"/>
      <c r="AR54" s="15"/>
      <c r="AS54" s="15">
        <f t="shared" si="4"/>
        <v>0</v>
      </c>
      <c r="AT54" s="15"/>
      <c r="AU54" s="72"/>
      <c r="AV54" s="72"/>
      <c r="AW54" s="72">
        <f t="shared" si="2"/>
        <v>0</v>
      </c>
      <c r="AX54" s="72"/>
    </row>
    <row r="55" spans="1:50" ht="23.25" hidden="1">
      <c r="A55" s="22"/>
      <c r="B55" s="23"/>
      <c r="C55" s="20"/>
      <c r="D55" s="24" t="s">
        <v>46</v>
      </c>
      <c r="E55" s="20" t="str">
        <f>E54</f>
        <v>ฉวาง</v>
      </c>
      <c r="F55" s="20"/>
      <c r="G55" s="20"/>
      <c r="H55" s="20" t="s">
        <v>48</v>
      </c>
      <c r="I55" s="20"/>
      <c r="J55" s="20">
        <v>2</v>
      </c>
      <c r="K55" s="20"/>
      <c r="L55" s="1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6"/>
      <c r="AN55" s="16"/>
      <c r="AO55" s="16">
        <f t="shared" si="5"/>
        <v>0</v>
      </c>
      <c r="AP55" s="128"/>
      <c r="AQ55" s="15"/>
      <c r="AR55" s="15"/>
      <c r="AS55" s="15">
        <f t="shared" si="4"/>
        <v>0</v>
      </c>
      <c r="AT55" s="15"/>
      <c r="AU55" s="72"/>
      <c r="AV55" s="72"/>
      <c r="AW55" s="72">
        <f t="shared" si="2"/>
        <v>0</v>
      </c>
      <c r="AX55" s="72"/>
    </row>
    <row r="56" spans="1:50" ht="23.25" hidden="1">
      <c r="A56" s="22"/>
      <c r="B56" s="23"/>
      <c r="C56" s="20"/>
      <c r="D56" s="24" t="s">
        <v>46</v>
      </c>
      <c r="E56" s="20" t="str">
        <f>E55</f>
        <v>ฉวาง</v>
      </c>
      <c r="F56" s="20"/>
      <c r="G56" s="20"/>
      <c r="H56" s="20" t="s">
        <v>48</v>
      </c>
      <c r="I56" s="20"/>
      <c r="J56" s="20">
        <v>3</v>
      </c>
      <c r="K56" s="20"/>
      <c r="L56" s="1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6"/>
      <c r="AN56" s="16"/>
      <c r="AO56" s="16">
        <f t="shared" si="5"/>
        <v>0</v>
      </c>
      <c r="AP56" s="128"/>
      <c r="AQ56" s="15"/>
      <c r="AR56" s="15"/>
      <c r="AS56" s="15">
        <f t="shared" si="4"/>
        <v>0</v>
      </c>
      <c r="AT56" s="15"/>
      <c r="AU56" s="72"/>
      <c r="AV56" s="72"/>
      <c r="AW56" s="72">
        <f t="shared" si="2"/>
        <v>0</v>
      </c>
      <c r="AX56" s="72"/>
    </row>
    <row r="57" spans="1:50" ht="23.25" hidden="1">
      <c r="A57" s="22"/>
      <c r="B57" s="23"/>
      <c r="C57" s="20"/>
      <c r="D57" s="24" t="s">
        <v>46</v>
      </c>
      <c r="E57" s="20" t="str">
        <f>E56</f>
        <v>ฉวาง</v>
      </c>
      <c r="F57" s="20"/>
      <c r="G57" s="20"/>
      <c r="H57" s="20" t="s">
        <v>48</v>
      </c>
      <c r="I57" s="20"/>
      <c r="J57" s="20">
        <v>4</v>
      </c>
      <c r="K57" s="20"/>
      <c r="L57" s="14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6"/>
      <c r="AN57" s="16"/>
      <c r="AO57" s="16">
        <f t="shared" si="5"/>
        <v>0</v>
      </c>
      <c r="AP57" s="128"/>
      <c r="AQ57" s="15"/>
      <c r="AR57" s="15"/>
      <c r="AS57" s="15">
        <f t="shared" si="4"/>
        <v>0</v>
      </c>
      <c r="AT57" s="15"/>
      <c r="AU57" s="72"/>
      <c r="AV57" s="72"/>
      <c r="AW57" s="72">
        <f t="shared" si="2"/>
        <v>0</v>
      </c>
      <c r="AX57" s="72"/>
    </row>
    <row r="58" spans="1:50" ht="23.25" hidden="1">
      <c r="A58" s="22"/>
      <c r="B58" s="23"/>
      <c r="C58" s="20"/>
      <c r="D58" s="24" t="s">
        <v>46</v>
      </c>
      <c r="E58" s="20" t="str">
        <f>E57</f>
        <v>ฉวาง</v>
      </c>
      <c r="F58" s="20"/>
      <c r="G58" s="20"/>
      <c r="H58" s="20" t="s">
        <v>48</v>
      </c>
      <c r="I58" s="20"/>
      <c r="J58" s="20">
        <v>5</v>
      </c>
      <c r="K58" s="20"/>
      <c r="L58" s="14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6"/>
      <c r="AN58" s="16"/>
      <c r="AO58" s="16">
        <f t="shared" si="5"/>
        <v>0</v>
      </c>
      <c r="AP58" s="128"/>
      <c r="AQ58" s="15"/>
      <c r="AR58" s="15"/>
      <c r="AS58" s="15">
        <f t="shared" si="4"/>
        <v>0</v>
      </c>
      <c r="AT58" s="15"/>
      <c r="AU58" s="72"/>
      <c r="AV58" s="72"/>
      <c r="AW58" s="72">
        <f t="shared" si="2"/>
        <v>0</v>
      </c>
      <c r="AX58" s="72"/>
    </row>
    <row r="59" spans="1:50" ht="23.25" hidden="1">
      <c r="A59" s="22"/>
      <c r="B59" s="23"/>
      <c r="C59" s="20"/>
      <c r="D59" s="24"/>
      <c r="E59" s="20"/>
      <c r="F59" s="20"/>
      <c r="G59" s="20"/>
      <c r="H59" s="20"/>
      <c r="I59" s="20"/>
      <c r="J59" s="20"/>
      <c r="K59" s="20"/>
      <c r="L59" s="14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6"/>
      <c r="AN59" s="16"/>
      <c r="AO59" s="16">
        <f t="shared" si="5"/>
        <v>0</v>
      </c>
      <c r="AP59" s="128"/>
      <c r="AQ59" s="15"/>
      <c r="AR59" s="15"/>
      <c r="AS59" s="15">
        <f t="shared" si="4"/>
        <v>0</v>
      </c>
      <c r="AT59" s="15"/>
      <c r="AU59" s="72"/>
      <c r="AV59" s="72"/>
      <c r="AW59" s="72">
        <f t="shared" si="2"/>
        <v>0</v>
      </c>
      <c r="AX59" s="72"/>
    </row>
    <row r="60" spans="1:50" ht="23.25" hidden="1">
      <c r="A60" s="22"/>
      <c r="B60" s="23"/>
      <c r="C60" s="20" t="s">
        <v>69</v>
      </c>
      <c r="D60" s="20"/>
      <c r="E60" s="20"/>
      <c r="F60" s="20"/>
      <c r="G60" s="20"/>
      <c r="H60" s="20"/>
      <c r="I60" s="20"/>
      <c r="J60" s="20"/>
      <c r="K60" s="20"/>
      <c r="L60" s="14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6"/>
      <c r="AN60" s="16"/>
      <c r="AO60" s="16">
        <f t="shared" si="5"/>
        <v>0</v>
      </c>
      <c r="AP60" s="128"/>
      <c r="AQ60" s="15"/>
      <c r="AR60" s="15"/>
      <c r="AS60" s="15">
        <f t="shared" si="4"/>
        <v>0</v>
      </c>
      <c r="AT60" s="15"/>
      <c r="AU60" s="72"/>
      <c r="AV60" s="72"/>
      <c r="AW60" s="72">
        <f t="shared" si="2"/>
        <v>0</v>
      </c>
      <c r="AX60" s="72"/>
    </row>
    <row r="61" spans="1:50" ht="23.25" hidden="1">
      <c r="A61" s="22"/>
      <c r="B61" s="23"/>
      <c r="C61" s="20"/>
      <c r="D61" s="24" t="s">
        <v>46</v>
      </c>
      <c r="E61" s="20" t="s">
        <v>55</v>
      </c>
      <c r="F61" s="20"/>
      <c r="G61" s="20"/>
      <c r="H61" s="20" t="s">
        <v>48</v>
      </c>
      <c r="I61" s="20"/>
      <c r="J61" s="20">
        <v>1</v>
      </c>
      <c r="K61" s="20"/>
      <c r="L61" s="14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6"/>
      <c r="AN61" s="16"/>
      <c r="AO61" s="16">
        <f t="shared" si="5"/>
        <v>0</v>
      </c>
      <c r="AP61" s="128"/>
      <c r="AQ61" s="15"/>
      <c r="AR61" s="15"/>
      <c r="AS61" s="15">
        <f t="shared" si="4"/>
        <v>0</v>
      </c>
      <c r="AT61" s="15"/>
      <c r="AU61" s="72"/>
      <c r="AV61" s="72"/>
      <c r="AW61" s="72">
        <f t="shared" si="2"/>
        <v>0</v>
      </c>
      <c r="AX61" s="72"/>
    </row>
    <row r="62" spans="1:50" ht="23.25" hidden="1">
      <c r="A62" s="22"/>
      <c r="B62" s="23"/>
      <c r="C62" s="20"/>
      <c r="D62" s="24" t="s">
        <v>46</v>
      </c>
      <c r="E62" s="20" t="str">
        <f>E61</f>
        <v>ฉวาง</v>
      </c>
      <c r="F62" s="20"/>
      <c r="G62" s="20"/>
      <c r="H62" s="20" t="s">
        <v>48</v>
      </c>
      <c r="I62" s="20"/>
      <c r="J62" s="20">
        <v>2</v>
      </c>
      <c r="K62" s="20"/>
      <c r="L62" s="1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6"/>
      <c r="AN62" s="16"/>
      <c r="AO62" s="16">
        <f t="shared" si="5"/>
        <v>0</v>
      </c>
      <c r="AP62" s="128"/>
      <c r="AQ62" s="15"/>
      <c r="AR62" s="15"/>
      <c r="AS62" s="15">
        <f t="shared" si="4"/>
        <v>0</v>
      </c>
      <c r="AT62" s="15"/>
      <c r="AU62" s="72"/>
      <c r="AV62" s="72"/>
      <c r="AW62" s="72">
        <f t="shared" si="2"/>
        <v>0</v>
      </c>
      <c r="AX62" s="72"/>
    </row>
    <row r="63" spans="1:50" ht="23.25" hidden="1">
      <c r="A63" s="22"/>
      <c r="B63" s="23"/>
      <c r="C63" s="20"/>
      <c r="D63" s="24" t="s">
        <v>46</v>
      </c>
      <c r="E63" s="20" t="str">
        <f>E62</f>
        <v>ฉวาง</v>
      </c>
      <c r="F63" s="20"/>
      <c r="G63" s="20"/>
      <c r="H63" s="20" t="s">
        <v>48</v>
      </c>
      <c r="I63" s="20"/>
      <c r="J63" s="20">
        <v>3</v>
      </c>
      <c r="K63" s="20"/>
      <c r="L63" s="14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6"/>
      <c r="AN63" s="16"/>
      <c r="AO63" s="16">
        <f t="shared" si="5"/>
        <v>0</v>
      </c>
      <c r="AP63" s="128"/>
      <c r="AQ63" s="15"/>
      <c r="AR63" s="15"/>
      <c r="AS63" s="15">
        <f t="shared" si="4"/>
        <v>0</v>
      </c>
      <c r="AT63" s="15"/>
      <c r="AU63" s="72"/>
      <c r="AV63" s="72"/>
      <c r="AW63" s="72">
        <f t="shared" si="2"/>
        <v>0</v>
      </c>
      <c r="AX63" s="72"/>
    </row>
    <row r="64" spans="1:50" ht="23.25" hidden="1">
      <c r="A64" s="22"/>
      <c r="B64" s="23"/>
      <c r="C64" s="20"/>
      <c r="D64" s="24"/>
      <c r="E64" s="20"/>
      <c r="F64" s="20"/>
      <c r="G64" s="20"/>
      <c r="H64" s="20"/>
      <c r="I64" s="20"/>
      <c r="J64" s="20"/>
      <c r="K64" s="20"/>
      <c r="L64" s="1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6"/>
      <c r="AN64" s="16"/>
      <c r="AO64" s="16">
        <f t="shared" si="5"/>
        <v>0</v>
      </c>
      <c r="AP64" s="128"/>
      <c r="AQ64" s="15"/>
      <c r="AR64" s="15"/>
      <c r="AS64" s="15">
        <f t="shared" si="4"/>
        <v>0</v>
      </c>
      <c r="AT64" s="15"/>
      <c r="AU64" s="72"/>
      <c r="AV64" s="72"/>
      <c r="AW64" s="72">
        <f t="shared" si="2"/>
        <v>0</v>
      </c>
      <c r="AX64" s="72"/>
    </row>
    <row r="65" spans="1:50" ht="23.25" hidden="1">
      <c r="A65" s="22"/>
      <c r="B65" s="23"/>
      <c r="C65" s="20" t="s">
        <v>45</v>
      </c>
      <c r="D65" s="20"/>
      <c r="E65" s="20"/>
      <c r="F65" s="20"/>
      <c r="G65" s="20"/>
      <c r="H65" s="20"/>
      <c r="I65" s="20"/>
      <c r="J65" s="20"/>
      <c r="K65" s="20"/>
      <c r="L65" s="1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6"/>
      <c r="AN65" s="16"/>
      <c r="AO65" s="16"/>
      <c r="AP65" s="128"/>
      <c r="AQ65" s="15"/>
      <c r="AR65" s="15"/>
      <c r="AS65" s="15">
        <f t="shared" si="4"/>
        <v>0</v>
      </c>
      <c r="AT65" s="15"/>
      <c r="AU65" s="72"/>
      <c r="AV65" s="72"/>
      <c r="AW65" s="72">
        <f t="shared" si="2"/>
        <v>0</v>
      </c>
      <c r="AX65" s="72"/>
    </row>
    <row r="66" spans="1:50" ht="0.75" customHeight="1" hidden="1">
      <c r="A66" s="22"/>
      <c r="B66" s="23"/>
      <c r="C66" s="20"/>
      <c r="D66" s="24" t="s">
        <v>46</v>
      </c>
      <c r="E66" s="20" t="s">
        <v>51</v>
      </c>
      <c r="F66" s="20"/>
      <c r="G66" s="20"/>
      <c r="H66" s="20" t="s">
        <v>48</v>
      </c>
      <c r="I66" s="20"/>
      <c r="J66" s="20" t="s">
        <v>70</v>
      </c>
      <c r="K66" s="20"/>
      <c r="L66" s="1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6"/>
      <c r="AN66" s="16"/>
      <c r="AO66" s="16"/>
      <c r="AP66" s="128"/>
      <c r="AQ66" s="15"/>
      <c r="AR66" s="15"/>
      <c r="AS66" s="15">
        <f t="shared" si="4"/>
        <v>0</v>
      </c>
      <c r="AT66" s="15"/>
      <c r="AU66" s="72"/>
      <c r="AV66" s="72"/>
      <c r="AW66" s="72">
        <f t="shared" si="2"/>
        <v>0</v>
      </c>
      <c r="AX66" s="72"/>
    </row>
    <row r="67" spans="1:51" s="141" customFormat="1" ht="21" customHeight="1">
      <c r="A67" s="138"/>
      <c r="B67" s="139"/>
      <c r="C67" s="101"/>
      <c r="D67" s="189" t="s">
        <v>54</v>
      </c>
      <c r="E67" s="101" t="s">
        <v>47</v>
      </c>
      <c r="F67" s="101"/>
      <c r="G67" s="101"/>
      <c r="H67" s="101" t="s">
        <v>48</v>
      </c>
      <c r="I67" s="101"/>
      <c r="J67" s="101"/>
      <c r="K67" s="101"/>
      <c r="L67" s="140"/>
      <c r="M67" s="72">
        <v>10000000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3"/>
      <c r="AN67" s="73"/>
      <c r="AO67" s="73">
        <f>M67+AM67-AN67</f>
        <v>10000000</v>
      </c>
      <c r="AP67" s="124"/>
      <c r="AQ67" s="72"/>
      <c r="AR67" s="72"/>
      <c r="AS67" s="72">
        <f t="shared" si="4"/>
        <v>10000000</v>
      </c>
      <c r="AT67" s="72"/>
      <c r="AU67" s="72"/>
      <c r="AV67" s="72"/>
      <c r="AW67" s="72">
        <f t="shared" si="2"/>
        <v>10000000</v>
      </c>
      <c r="AX67" s="72"/>
      <c r="AY67" s="102"/>
    </row>
    <row r="68" spans="1:50" ht="21.75" customHeight="1">
      <c r="A68" s="22"/>
      <c r="B68" s="23"/>
      <c r="C68" s="20" t="s">
        <v>45</v>
      </c>
      <c r="D68" s="20"/>
      <c r="E68" s="20"/>
      <c r="F68" s="20"/>
      <c r="G68" s="20"/>
      <c r="H68" s="20"/>
      <c r="I68" s="20"/>
      <c r="J68" s="20"/>
      <c r="K68" s="20"/>
      <c r="L68" s="1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6"/>
      <c r="AN68" s="16"/>
      <c r="AO68" s="16"/>
      <c r="AP68" s="128"/>
      <c r="AQ68" s="15"/>
      <c r="AR68" s="15"/>
      <c r="AS68" s="15">
        <f t="shared" si="4"/>
        <v>0</v>
      </c>
      <c r="AT68" s="15"/>
      <c r="AU68" s="72"/>
      <c r="AV68" s="72"/>
      <c r="AW68" s="72">
        <f t="shared" si="2"/>
        <v>0</v>
      </c>
      <c r="AX68" s="72"/>
    </row>
    <row r="69" spans="1:50" ht="23.25" customHeight="1">
      <c r="A69" s="22"/>
      <c r="B69" s="23"/>
      <c r="C69" s="20"/>
      <c r="D69" s="24" t="s">
        <v>46</v>
      </c>
      <c r="E69" s="20" t="s">
        <v>47</v>
      </c>
      <c r="F69" s="20"/>
      <c r="G69" s="20"/>
      <c r="H69" s="20" t="s">
        <v>48</v>
      </c>
      <c r="I69" s="20"/>
      <c r="J69" s="20" t="s">
        <v>71</v>
      </c>
      <c r="K69" s="20"/>
      <c r="L69" s="14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3"/>
      <c r="AN69" s="73"/>
      <c r="AO69" s="16">
        <f aca="true" t="shared" si="6" ref="AO69:AO100">M69+AM69-AN69</f>
        <v>0</v>
      </c>
      <c r="AP69" s="128"/>
      <c r="AQ69" s="15"/>
      <c r="AR69" s="15"/>
      <c r="AS69" s="15">
        <f t="shared" si="4"/>
        <v>0</v>
      </c>
      <c r="AT69" s="15"/>
      <c r="AU69" s="72"/>
      <c r="AV69" s="72"/>
      <c r="AW69" s="72">
        <f t="shared" si="2"/>
        <v>0</v>
      </c>
      <c r="AX69" s="72"/>
    </row>
    <row r="70" spans="1:50" ht="23.25">
      <c r="A70" s="22"/>
      <c r="B70" s="23"/>
      <c r="C70" s="20"/>
      <c r="D70" s="24" t="s">
        <v>46</v>
      </c>
      <c r="E70" s="20" t="s">
        <v>47</v>
      </c>
      <c r="F70" s="20"/>
      <c r="G70" s="20"/>
      <c r="H70" s="20" t="s">
        <v>48</v>
      </c>
      <c r="I70" s="20"/>
      <c r="J70" s="20" t="s">
        <v>72</v>
      </c>
      <c r="K70" s="20"/>
      <c r="L70" s="14"/>
      <c r="M70" s="15">
        <v>5489283.4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6"/>
      <c r="AN70" s="16"/>
      <c r="AO70" s="16">
        <f t="shared" si="6"/>
        <v>5489283.4</v>
      </c>
      <c r="AP70" s="128"/>
      <c r="AQ70" s="15"/>
      <c r="AR70" s="15"/>
      <c r="AS70" s="72">
        <v>2653885.47</v>
      </c>
      <c r="AT70" s="15"/>
      <c r="AU70" s="72"/>
      <c r="AV70" s="72"/>
      <c r="AW70" s="72">
        <f t="shared" si="2"/>
        <v>2653885.47</v>
      </c>
      <c r="AX70" s="72"/>
    </row>
    <row r="71" spans="1:50" ht="22.5" customHeight="1">
      <c r="A71" s="18" t="s">
        <v>73</v>
      </c>
      <c r="B71" s="23"/>
      <c r="C71" s="20"/>
      <c r="D71" s="20"/>
      <c r="E71" s="20"/>
      <c r="F71" s="20"/>
      <c r="G71" s="20"/>
      <c r="H71" s="20"/>
      <c r="I71" s="20"/>
      <c r="J71" s="20"/>
      <c r="K71" s="20"/>
      <c r="L71" s="14"/>
      <c r="M71" s="15">
        <v>3887735.74</v>
      </c>
      <c r="N71" s="15"/>
      <c r="O71" s="15"/>
      <c r="P71" s="15"/>
      <c r="Q71" s="15"/>
      <c r="R71" s="15"/>
      <c r="S71" s="15"/>
      <c r="T71" s="15"/>
      <c r="U71" s="15"/>
      <c r="V71" s="15"/>
      <c r="W71" s="15">
        <v>72566.23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6"/>
      <c r="AN71" s="16"/>
      <c r="AO71" s="16">
        <f t="shared" si="6"/>
        <v>3887735.74</v>
      </c>
      <c r="AP71" s="128"/>
      <c r="AQ71" s="15"/>
      <c r="AR71" s="15"/>
      <c r="AS71" s="72">
        <f t="shared" si="4"/>
        <v>3887735.74</v>
      </c>
      <c r="AT71" s="15"/>
      <c r="AU71" s="72">
        <v>10559.12</v>
      </c>
      <c r="AV71" s="72"/>
      <c r="AW71" s="72">
        <f t="shared" si="2"/>
        <v>3898294.8600000003</v>
      </c>
      <c r="AX71" s="72"/>
    </row>
    <row r="72" spans="1:50" ht="23.25">
      <c r="A72" s="18" t="s">
        <v>74</v>
      </c>
      <c r="B72" s="23"/>
      <c r="C72" s="20"/>
      <c r="D72" s="20"/>
      <c r="E72" s="20"/>
      <c r="F72" s="20"/>
      <c r="G72" s="20"/>
      <c r="H72" s="20"/>
      <c r="I72" s="20"/>
      <c r="J72" s="20"/>
      <c r="K72" s="20"/>
      <c r="L72" s="1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6"/>
      <c r="AN72" s="16"/>
      <c r="AO72" s="16">
        <f t="shared" si="6"/>
        <v>0</v>
      </c>
      <c r="AP72" s="128"/>
      <c r="AQ72" s="15"/>
      <c r="AR72" s="15"/>
      <c r="AS72" s="15">
        <f aca="true" t="shared" si="7" ref="AS72:AS103">AO72+AQ72-AR72</f>
        <v>0</v>
      </c>
      <c r="AT72" s="15"/>
      <c r="AU72" s="72"/>
      <c r="AV72" s="72"/>
      <c r="AW72" s="165">
        <f t="shared" si="2"/>
        <v>0</v>
      </c>
      <c r="AX72" s="72"/>
    </row>
    <row r="73" spans="1:50" ht="23.25" hidden="1">
      <c r="A73" s="18" t="s">
        <v>75</v>
      </c>
      <c r="B73" s="23"/>
      <c r="C73" s="20"/>
      <c r="D73" s="20"/>
      <c r="E73" s="20"/>
      <c r="F73" s="20"/>
      <c r="G73" s="20"/>
      <c r="H73" s="20"/>
      <c r="I73" s="20"/>
      <c r="J73" s="20"/>
      <c r="K73" s="20"/>
      <c r="L73" s="14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6"/>
      <c r="AN73" s="16"/>
      <c r="AO73" s="16">
        <f t="shared" si="6"/>
        <v>0</v>
      </c>
      <c r="AP73" s="128"/>
      <c r="AQ73" s="15"/>
      <c r="AR73" s="15"/>
      <c r="AS73" s="15">
        <f t="shared" si="7"/>
        <v>0</v>
      </c>
      <c r="AT73" s="15"/>
      <c r="AU73" s="72"/>
      <c r="AV73" s="72"/>
      <c r="AW73" s="165">
        <f aca="true" t="shared" si="8" ref="AW73:AW119">AS73+AU73-AV73</f>
        <v>0</v>
      </c>
      <c r="AX73" s="72"/>
    </row>
    <row r="74" spans="1:50" ht="23.25" hidden="1">
      <c r="A74" s="18"/>
      <c r="B74" s="23"/>
      <c r="C74" s="20"/>
      <c r="D74" s="20"/>
      <c r="E74" s="20"/>
      <c r="F74" s="20"/>
      <c r="G74" s="20"/>
      <c r="H74" s="20"/>
      <c r="I74" s="20"/>
      <c r="J74" s="20"/>
      <c r="K74" s="20"/>
      <c r="L74" s="14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6"/>
      <c r="AN74" s="16"/>
      <c r="AO74" s="16">
        <f t="shared" si="6"/>
        <v>0</v>
      </c>
      <c r="AP74" s="128"/>
      <c r="AQ74" s="15"/>
      <c r="AR74" s="15"/>
      <c r="AS74" s="15">
        <f t="shared" si="7"/>
        <v>0</v>
      </c>
      <c r="AT74" s="15"/>
      <c r="AU74" s="72"/>
      <c r="AV74" s="72"/>
      <c r="AW74" s="165">
        <f t="shared" si="8"/>
        <v>0</v>
      </c>
      <c r="AX74" s="72"/>
    </row>
    <row r="75" spans="1:50" ht="23.25" hidden="1">
      <c r="A75" s="18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14"/>
      <c r="M75" s="25"/>
      <c r="N75" s="2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6"/>
      <c r="AN75" s="16"/>
      <c r="AO75" s="16">
        <f t="shared" si="6"/>
        <v>0</v>
      </c>
      <c r="AP75" s="128"/>
      <c r="AQ75" s="15"/>
      <c r="AR75" s="15"/>
      <c r="AS75" s="15">
        <f t="shared" si="7"/>
        <v>0</v>
      </c>
      <c r="AT75" s="15"/>
      <c r="AU75" s="72"/>
      <c r="AV75" s="72"/>
      <c r="AW75" s="165">
        <f t="shared" si="8"/>
        <v>0</v>
      </c>
      <c r="AX75" s="72"/>
    </row>
    <row r="76" spans="1:50" ht="23.25" hidden="1">
      <c r="A76" s="18" t="s">
        <v>76</v>
      </c>
      <c r="B76" s="19"/>
      <c r="C76" s="20"/>
      <c r="D76" s="20"/>
      <c r="E76" s="20"/>
      <c r="F76" s="20"/>
      <c r="G76" s="20"/>
      <c r="H76" s="20"/>
      <c r="I76" s="20"/>
      <c r="J76" s="20"/>
      <c r="K76" s="21"/>
      <c r="L76" s="14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6"/>
      <c r="AN76" s="16"/>
      <c r="AO76" s="16">
        <f t="shared" si="6"/>
        <v>0</v>
      </c>
      <c r="AP76" s="128"/>
      <c r="AQ76" s="15"/>
      <c r="AR76" s="15"/>
      <c r="AS76" s="15">
        <f t="shared" si="7"/>
        <v>0</v>
      </c>
      <c r="AT76" s="15"/>
      <c r="AU76" s="72"/>
      <c r="AV76" s="72"/>
      <c r="AW76" s="165">
        <f t="shared" si="8"/>
        <v>0</v>
      </c>
      <c r="AX76" s="72"/>
    </row>
    <row r="77" spans="1:50" ht="23.25" hidden="1">
      <c r="A77" s="18" t="s">
        <v>77</v>
      </c>
      <c r="B77" s="19"/>
      <c r="C77" s="20"/>
      <c r="D77" s="20"/>
      <c r="E77" s="20"/>
      <c r="F77" s="20"/>
      <c r="G77" s="20"/>
      <c r="H77" s="20"/>
      <c r="I77" s="20"/>
      <c r="J77" s="20"/>
      <c r="K77" s="21"/>
      <c r="L77" s="14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6"/>
      <c r="AN77" s="16"/>
      <c r="AO77" s="16">
        <f t="shared" si="6"/>
        <v>0</v>
      </c>
      <c r="AP77" s="128"/>
      <c r="AQ77" s="15"/>
      <c r="AR77" s="15"/>
      <c r="AS77" s="15">
        <f t="shared" si="7"/>
        <v>0</v>
      </c>
      <c r="AT77" s="15"/>
      <c r="AU77" s="72"/>
      <c r="AV77" s="72"/>
      <c r="AW77" s="165">
        <f t="shared" si="8"/>
        <v>0</v>
      </c>
      <c r="AX77" s="72"/>
    </row>
    <row r="78" spans="1:50" ht="23.25" hidden="1">
      <c r="A78" s="18" t="s">
        <v>78</v>
      </c>
      <c r="B78" s="19"/>
      <c r="C78" s="20"/>
      <c r="D78" s="20"/>
      <c r="E78" s="20"/>
      <c r="F78" s="20"/>
      <c r="G78" s="20"/>
      <c r="H78" s="20"/>
      <c r="I78" s="20"/>
      <c r="J78" s="20"/>
      <c r="K78" s="21"/>
      <c r="L78" s="14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6"/>
      <c r="AN78" s="16"/>
      <c r="AO78" s="16">
        <f t="shared" si="6"/>
        <v>0</v>
      </c>
      <c r="AP78" s="128"/>
      <c r="AQ78" s="15"/>
      <c r="AR78" s="15"/>
      <c r="AS78" s="15">
        <f t="shared" si="7"/>
        <v>0</v>
      </c>
      <c r="AT78" s="15"/>
      <c r="AU78" s="72"/>
      <c r="AV78" s="72"/>
      <c r="AW78" s="165">
        <f t="shared" si="8"/>
        <v>0</v>
      </c>
      <c r="AX78" s="72"/>
    </row>
    <row r="79" spans="1:50" ht="23.25" hidden="1">
      <c r="A79" s="18" t="s">
        <v>79</v>
      </c>
      <c r="B79" s="19"/>
      <c r="C79" s="20"/>
      <c r="D79" s="20"/>
      <c r="E79" s="20"/>
      <c r="F79" s="20"/>
      <c r="G79" s="20"/>
      <c r="H79" s="20"/>
      <c r="I79" s="20"/>
      <c r="J79" s="20"/>
      <c r="K79" s="21"/>
      <c r="L79" s="14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6"/>
      <c r="AN79" s="16"/>
      <c r="AO79" s="16">
        <f t="shared" si="6"/>
        <v>0</v>
      </c>
      <c r="AP79" s="128"/>
      <c r="AQ79" s="15"/>
      <c r="AR79" s="15"/>
      <c r="AS79" s="15">
        <f t="shared" si="7"/>
        <v>0</v>
      </c>
      <c r="AT79" s="15"/>
      <c r="AU79" s="72"/>
      <c r="AV79" s="72"/>
      <c r="AW79" s="165">
        <f t="shared" si="8"/>
        <v>0</v>
      </c>
      <c r="AX79" s="72"/>
    </row>
    <row r="80" spans="1:50" ht="23.25" hidden="1">
      <c r="A80" s="18" t="s">
        <v>80</v>
      </c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6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6"/>
      <c r="AN80" s="16"/>
      <c r="AO80" s="16">
        <f t="shared" si="6"/>
        <v>0</v>
      </c>
      <c r="AP80" s="128"/>
      <c r="AQ80" s="15"/>
      <c r="AR80" s="15"/>
      <c r="AS80" s="15">
        <f t="shared" si="7"/>
        <v>0</v>
      </c>
      <c r="AT80" s="15"/>
      <c r="AU80" s="72"/>
      <c r="AV80" s="72"/>
      <c r="AW80" s="165">
        <f t="shared" si="8"/>
        <v>0</v>
      </c>
      <c r="AX80" s="72"/>
    </row>
    <row r="81" spans="1:50" ht="23.25" hidden="1">
      <c r="A81" s="18"/>
      <c r="B81" s="19"/>
      <c r="C81" s="20"/>
      <c r="D81" s="20"/>
      <c r="E81" s="20"/>
      <c r="F81" s="20"/>
      <c r="G81" s="20"/>
      <c r="H81" s="20"/>
      <c r="I81" s="20"/>
      <c r="J81" s="20"/>
      <c r="K81" s="21"/>
      <c r="L81" s="14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6"/>
      <c r="AN81" s="16"/>
      <c r="AO81" s="16">
        <f t="shared" si="6"/>
        <v>0</v>
      </c>
      <c r="AP81" s="128"/>
      <c r="AQ81" s="15"/>
      <c r="AR81" s="15"/>
      <c r="AS81" s="15">
        <f t="shared" si="7"/>
        <v>0</v>
      </c>
      <c r="AT81" s="15"/>
      <c r="AU81" s="72"/>
      <c r="AV81" s="72"/>
      <c r="AW81" s="165">
        <f t="shared" si="8"/>
        <v>0</v>
      </c>
      <c r="AX81" s="72"/>
    </row>
    <row r="82" spans="1:50" ht="23.25" hidden="1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1"/>
      <c r="L82" s="14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6"/>
      <c r="AN82" s="16"/>
      <c r="AO82" s="16">
        <f t="shared" si="6"/>
        <v>0</v>
      </c>
      <c r="AP82" s="128"/>
      <c r="AQ82" s="15"/>
      <c r="AR82" s="15"/>
      <c r="AS82" s="15">
        <f t="shared" si="7"/>
        <v>0</v>
      </c>
      <c r="AT82" s="15"/>
      <c r="AU82" s="72"/>
      <c r="AV82" s="72"/>
      <c r="AW82" s="165">
        <f t="shared" si="8"/>
        <v>0</v>
      </c>
      <c r="AX82" s="72"/>
    </row>
    <row r="83" spans="1:50" ht="19.5" customHeight="1">
      <c r="A83" s="18" t="s">
        <v>81</v>
      </c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14"/>
      <c r="M83" s="25"/>
      <c r="N83" s="2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6"/>
      <c r="AN83" s="16"/>
      <c r="AO83" s="16">
        <f t="shared" si="6"/>
        <v>0</v>
      </c>
      <c r="AP83" s="128"/>
      <c r="AQ83" s="15"/>
      <c r="AR83" s="15"/>
      <c r="AS83" s="15">
        <f t="shared" si="7"/>
        <v>0</v>
      </c>
      <c r="AT83" s="15"/>
      <c r="AU83" s="72"/>
      <c r="AV83" s="72"/>
      <c r="AW83" s="165">
        <f t="shared" si="8"/>
        <v>0</v>
      </c>
      <c r="AX83" s="72"/>
    </row>
    <row r="84" spans="1:50" ht="23.25">
      <c r="A84" s="18"/>
      <c r="B84" s="19" t="s">
        <v>43</v>
      </c>
      <c r="C84" s="20" t="s">
        <v>82</v>
      </c>
      <c r="D84" s="20"/>
      <c r="E84" s="20"/>
      <c r="F84" s="20"/>
      <c r="G84" s="20"/>
      <c r="H84" s="20"/>
      <c r="I84" s="20"/>
      <c r="J84" s="20"/>
      <c r="K84" s="20"/>
      <c r="L84" s="14"/>
      <c r="M84" s="25">
        <v>-17.67</v>
      </c>
      <c r="N84" s="2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6">
        <f>233.67+1108</f>
        <v>1341.67</v>
      </c>
      <c r="AN84" s="16"/>
      <c r="AO84" s="16">
        <f t="shared" si="6"/>
        <v>1324</v>
      </c>
      <c r="AP84" s="128"/>
      <c r="AQ84" s="15"/>
      <c r="AR84" s="15"/>
      <c r="AS84" s="15">
        <f t="shared" si="7"/>
        <v>1324</v>
      </c>
      <c r="AT84" s="15"/>
      <c r="AU84" s="72"/>
      <c r="AV84" s="72"/>
      <c r="AW84" s="15">
        <f t="shared" si="8"/>
        <v>1324</v>
      </c>
      <c r="AX84" s="72"/>
    </row>
    <row r="85" spans="1:50" ht="21" customHeight="1">
      <c r="A85" s="18"/>
      <c r="B85" s="19" t="s">
        <v>43</v>
      </c>
      <c r="C85" s="20" t="s">
        <v>83</v>
      </c>
      <c r="D85" s="20"/>
      <c r="E85" s="20"/>
      <c r="F85" s="20"/>
      <c r="G85" s="20"/>
      <c r="H85" s="20"/>
      <c r="I85" s="20"/>
      <c r="J85" s="20"/>
      <c r="K85" s="20"/>
      <c r="L85" s="14"/>
      <c r="M85" s="25">
        <v>200</v>
      </c>
      <c r="N85" s="2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6"/>
      <c r="AN85" s="16">
        <v>200</v>
      </c>
      <c r="AO85" s="16">
        <f t="shared" si="6"/>
        <v>0</v>
      </c>
      <c r="AP85" s="128"/>
      <c r="AQ85" s="15"/>
      <c r="AR85" s="15"/>
      <c r="AS85" s="15">
        <f t="shared" si="7"/>
        <v>0</v>
      </c>
      <c r="AT85" s="15"/>
      <c r="AU85" s="72"/>
      <c r="AV85" s="72"/>
      <c r="AW85" s="15">
        <f t="shared" si="8"/>
        <v>0</v>
      </c>
      <c r="AX85" s="72"/>
    </row>
    <row r="86" spans="1:50" ht="21" customHeight="1">
      <c r="A86" s="18"/>
      <c r="B86" s="19" t="s">
        <v>43</v>
      </c>
      <c r="C86" s="20" t="s">
        <v>84</v>
      </c>
      <c r="D86" s="20"/>
      <c r="E86" s="20"/>
      <c r="F86" s="20"/>
      <c r="G86" s="20"/>
      <c r="H86" s="20"/>
      <c r="I86" s="20"/>
      <c r="J86" s="20"/>
      <c r="K86" s="20"/>
      <c r="L86" s="14"/>
      <c r="M86" s="25">
        <v>665.6</v>
      </c>
      <c r="N86" s="25"/>
      <c r="O86" s="15"/>
      <c r="P86" s="25"/>
      <c r="Q86" s="2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6">
        <f>841.88</f>
        <v>841.88</v>
      </c>
      <c r="AN86" s="16">
        <v>233.67</v>
      </c>
      <c r="AO86" s="16">
        <f t="shared" si="6"/>
        <v>1273.81</v>
      </c>
      <c r="AP86" s="128"/>
      <c r="AQ86" s="15"/>
      <c r="AR86" s="15"/>
      <c r="AS86" s="15">
        <f t="shared" si="7"/>
        <v>1273.81</v>
      </c>
      <c r="AT86" s="15"/>
      <c r="AU86" s="72"/>
      <c r="AV86" s="72">
        <v>11.74</v>
      </c>
      <c r="AW86" s="15">
        <f t="shared" si="8"/>
        <v>1262.07</v>
      </c>
      <c r="AX86" s="72"/>
    </row>
    <row r="87" spans="1:50" ht="21" customHeight="1">
      <c r="A87" s="18"/>
      <c r="B87" s="19" t="s">
        <v>43</v>
      </c>
      <c r="C87" s="20" t="s">
        <v>288</v>
      </c>
      <c r="D87" s="20"/>
      <c r="E87" s="20"/>
      <c r="F87" s="20"/>
      <c r="G87" s="20"/>
      <c r="H87" s="20"/>
      <c r="I87" s="20"/>
      <c r="J87" s="20"/>
      <c r="K87" s="20"/>
      <c r="L87" s="14"/>
      <c r="M87" s="25"/>
      <c r="N87" s="25"/>
      <c r="O87" s="15"/>
      <c r="P87" s="25"/>
      <c r="Q87" s="2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6">
        <v>150380</v>
      </c>
      <c r="AN87" s="16">
        <f>114380+3000</f>
        <v>117380</v>
      </c>
      <c r="AO87" s="16">
        <f t="shared" si="6"/>
        <v>33000</v>
      </c>
      <c r="AP87" s="128"/>
      <c r="AQ87" s="15"/>
      <c r="AR87" s="15"/>
      <c r="AS87" s="15">
        <v>0</v>
      </c>
      <c r="AT87" s="15"/>
      <c r="AU87" s="72">
        <v>38800</v>
      </c>
      <c r="AV87" s="72">
        <v>12400</v>
      </c>
      <c r="AW87" s="15">
        <f>AS87+AU87-AV87</f>
        <v>26400</v>
      </c>
      <c r="AX87" s="72"/>
    </row>
    <row r="88" spans="1:50" ht="21" customHeight="1">
      <c r="A88" s="18"/>
      <c r="B88" s="19" t="s">
        <v>43</v>
      </c>
      <c r="C88" s="20" t="s">
        <v>85</v>
      </c>
      <c r="D88" s="20"/>
      <c r="E88" s="20"/>
      <c r="F88" s="20"/>
      <c r="G88" s="20"/>
      <c r="H88" s="20"/>
      <c r="I88" s="20"/>
      <c r="J88" s="20"/>
      <c r="K88" s="20"/>
      <c r="L88" s="14"/>
      <c r="M88" s="25">
        <v>71477</v>
      </c>
      <c r="N88" s="25"/>
      <c r="O88" s="15"/>
      <c r="P88" s="25"/>
      <c r="Q88" s="2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6">
        <f>195209.5+23180</f>
        <v>218389.5</v>
      </c>
      <c r="AN88" s="16">
        <f>3958+282908.5</f>
        <v>286866.5</v>
      </c>
      <c r="AO88" s="16">
        <f t="shared" si="6"/>
        <v>3000</v>
      </c>
      <c r="AP88" s="128"/>
      <c r="AQ88" s="15"/>
      <c r="AR88" s="15"/>
      <c r="AS88" s="15">
        <v>0</v>
      </c>
      <c r="AT88" s="15"/>
      <c r="AU88" s="72"/>
      <c r="AV88" s="72"/>
      <c r="AW88" s="15">
        <f t="shared" si="8"/>
        <v>0</v>
      </c>
      <c r="AX88" s="72"/>
    </row>
    <row r="89" spans="1:50" ht="23.25" customHeight="1" hidden="1">
      <c r="A89" s="18" t="s">
        <v>86</v>
      </c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6"/>
      <c r="M89" s="25">
        <v>0</v>
      </c>
      <c r="N89" s="25"/>
      <c r="O89" s="15"/>
      <c r="P89" s="15"/>
      <c r="Q89" s="15"/>
      <c r="R89" s="15">
        <f>0.95-0.9</f>
        <v>0.04999999999999993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6"/>
      <c r="AN89" s="16"/>
      <c r="AO89" s="16">
        <f t="shared" si="6"/>
        <v>0</v>
      </c>
      <c r="AP89" s="128"/>
      <c r="AQ89" s="15"/>
      <c r="AR89" s="15"/>
      <c r="AS89" s="15">
        <f t="shared" si="7"/>
        <v>0</v>
      </c>
      <c r="AT89" s="15"/>
      <c r="AU89" s="72"/>
      <c r="AV89" s="72"/>
      <c r="AW89" s="165">
        <f t="shared" si="8"/>
        <v>0</v>
      </c>
      <c r="AX89" s="72"/>
    </row>
    <row r="90" spans="1:50" ht="23.25" hidden="1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14"/>
      <c r="M90" s="25"/>
      <c r="N90" s="25"/>
      <c r="O90" s="15"/>
      <c r="P90" s="25"/>
      <c r="Q90" s="2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6"/>
      <c r="AN90" s="16"/>
      <c r="AO90" s="16">
        <f t="shared" si="6"/>
        <v>0</v>
      </c>
      <c r="AP90" s="128"/>
      <c r="AQ90" s="15"/>
      <c r="AR90" s="15"/>
      <c r="AS90" s="15">
        <f t="shared" si="7"/>
        <v>0</v>
      </c>
      <c r="AT90" s="15"/>
      <c r="AU90" s="72"/>
      <c r="AV90" s="72"/>
      <c r="AW90" s="165">
        <f t="shared" si="8"/>
        <v>0</v>
      </c>
      <c r="AX90" s="72"/>
    </row>
    <row r="91" spans="1:50" ht="23.25" hidden="1">
      <c r="A91" s="18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14"/>
      <c r="M91" s="25"/>
      <c r="N91" s="25"/>
      <c r="O91" s="15"/>
      <c r="P91" s="25"/>
      <c r="Q91" s="2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6"/>
      <c r="AN91" s="16"/>
      <c r="AO91" s="16">
        <f t="shared" si="6"/>
        <v>0</v>
      </c>
      <c r="AP91" s="128"/>
      <c r="AQ91" s="15"/>
      <c r="AR91" s="15"/>
      <c r="AS91" s="15">
        <f t="shared" si="7"/>
        <v>0</v>
      </c>
      <c r="AT91" s="15"/>
      <c r="AU91" s="72"/>
      <c r="AV91" s="72"/>
      <c r="AW91" s="165">
        <f t="shared" si="8"/>
        <v>0</v>
      </c>
      <c r="AX91" s="72"/>
    </row>
    <row r="92" spans="1:50" ht="23.25" hidden="1">
      <c r="A92" s="18" t="s">
        <v>86</v>
      </c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14"/>
      <c r="M92" s="25"/>
      <c r="N92" s="25"/>
      <c r="O92" s="15"/>
      <c r="P92" s="25"/>
      <c r="Q92" s="2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6"/>
      <c r="AN92" s="16"/>
      <c r="AO92" s="16">
        <f t="shared" si="6"/>
        <v>0</v>
      </c>
      <c r="AP92" s="128"/>
      <c r="AQ92" s="15"/>
      <c r="AR92" s="15"/>
      <c r="AS92" s="15">
        <f t="shared" si="7"/>
        <v>0</v>
      </c>
      <c r="AT92" s="15"/>
      <c r="AU92" s="72"/>
      <c r="AV92" s="72"/>
      <c r="AW92" s="165">
        <f t="shared" si="8"/>
        <v>0</v>
      </c>
      <c r="AX92" s="72"/>
    </row>
    <row r="93" spans="1:50" ht="23.25" hidden="1">
      <c r="A93" s="18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6"/>
      <c r="M93" s="25"/>
      <c r="N93" s="25"/>
      <c r="O93" s="15"/>
      <c r="P93" s="25"/>
      <c r="Q93" s="2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25"/>
      <c r="AM93" s="16"/>
      <c r="AN93" s="16"/>
      <c r="AO93" s="16">
        <f t="shared" si="6"/>
        <v>0</v>
      </c>
      <c r="AP93" s="128"/>
      <c r="AQ93" s="15"/>
      <c r="AR93" s="15"/>
      <c r="AS93" s="15">
        <f t="shared" si="7"/>
        <v>0</v>
      </c>
      <c r="AT93" s="15"/>
      <c r="AU93" s="72"/>
      <c r="AV93" s="72"/>
      <c r="AW93" s="165">
        <f t="shared" si="8"/>
        <v>0</v>
      </c>
      <c r="AX93" s="72"/>
    </row>
    <row r="94" spans="1:50" ht="23.25" hidden="1">
      <c r="A94" s="18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6"/>
      <c r="M94" s="25"/>
      <c r="N94" s="25"/>
      <c r="O94" s="15"/>
      <c r="P94" s="25"/>
      <c r="Q94" s="2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25"/>
      <c r="AM94" s="16"/>
      <c r="AN94" s="16"/>
      <c r="AO94" s="16">
        <f t="shared" si="6"/>
        <v>0</v>
      </c>
      <c r="AP94" s="128"/>
      <c r="AQ94" s="15"/>
      <c r="AR94" s="15"/>
      <c r="AS94" s="15">
        <f t="shared" si="7"/>
        <v>0</v>
      </c>
      <c r="AT94" s="15"/>
      <c r="AU94" s="72"/>
      <c r="AV94" s="72"/>
      <c r="AW94" s="165">
        <f t="shared" si="8"/>
        <v>0</v>
      </c>
      <c r="AX94" s="72"/>
    </row>
    <row r="95" spans="1:50" ht="23.25" hidden="1">
      <c r="A95" s="18" t="s">
        <v>87</v>
      </c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14"/>
      <c r="M95" s="25"/>
      <c r="N95" s="25"/>
      <c r="O95" s="15"/>
      <c r="P95" s="25"/>
      <c r="Q95" s="2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25"/>
      <c r="AM95" s="16"/>
      <c r="AN95" s="16"/>
      <c r="AO95" s="16">
        <f t="shared" si="6"/>
        <v>0</v>
      </c>
      <c r="AP95" s="128"/>
      <c r="AQ95" s="15"/>
      <c r="AR95" s="15"/>
      <c r="AS95" s="15">
        <f t="shared" si="7"/>
        <v>0</v>
      </c>
      <c r="AT95" s="15"/>
      <c r="AU95" s="72"/>
      <c r="AV95" s="72"/>
      <c r="AW95" s="165">
        <f t="shared" si="8"/>
        <v>0</v>
      </c>
      <c r="AX95" s="72"/>
    </row>
    <row r="96" spans="1:50" ht="23.25" hidden="1">
      <c r="A96" s="18" t="s">
        <v>88</v>
      </c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14"/>
      <c r="M96" s="25"/>
      <c r="N96" s="2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6"/>
      <c r="AN96" s="16"/>
      <c r="AO96" s="16">
        <f t="shared" si="6"/>
        <v>0</v>
      </c>
      <c r="AP96" s="128"/>
      <c r="AQ96" s="15"/>
      <c r="AR96" s="15"/>
      <c r="AS96" s="15">
        <f t="shared" si="7"/>
        <v>0</v>
      </c>
      <c r="AT96" s="15"/>
      <c r="AU96" s="72"/>
      <c r="AV96" s="72"/>
      <c r="AW96" s="165">
        <f t="shared" si="8"/>
        <v>0</v>
      </c>
      <c r="AX96" s="72"/>
    </row>
    <row r="97" spans="1:50" ht="23.25" hidden="1">
      <c r="A97" s="18" t="s">
        <v>89</v>
      </c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14"/>
      <c r="M97" s="25"/>
      <c r="N97" s="2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6"/>
      <c r="AN97" s="16"/>
      <c r="AO97" s="16">
        <f t="shared" si="6"/>
        <v>0</v>
      </c>
      <c r="AP97" s="128"/>
      <c r="AQ97" s="15"/>
      <c r="AR97" s="15"/>
      <c r="AS97" s="15">
        <f t="shared" si="7"/>
        <v>0</v>
      </c>
      <c r="AT97" s="15"/>
      <c r="AU97" s="72"/>
      <c r="AV97" s="72"/>
      <c r="AW97" s="165">
        <f t="shared" si="8"/>
        <v>0</v>
      </c>
      <c r="AX97" s="72"/>
    </row>
    <row r="98" spans="1:50" ht="23.25" hidden="1">
      <c r="A98" s="18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6"/>
      <c r="M98" s="25"/>
      <c r="N98" s="2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6"/>
      <c r="AN98" s="16"/>
      <c r="AO98" s="16">
        <f t="shared" si="6"/>
        <v>0</v>
      </c>
      <c r="AP98" s="128"/>
      <c r="AQ98" s="15"/>
      <c r="AR98" s="15"/>
      <c r="AS98" s="15">
        <f t="shared" si="7"/>
        <v>0</v>
      </c>
      <c r="AT98" s="15"/>
      <c r="AU98" s="72"/>
      <c r="AV98" s="72"/>
      <c r="AW98" s="165">
        <f t="shared" si="8"/>
        <v>0</v>
      </c>
      <c r="AX98" s="72"/>
    </row>
    <row r="99" spans="1:50" ht="23.25" hidden="1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6"/>
      <c r="M99" s="25"/>
      <c r="N99" s="2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6"/>
      <c r="AN99" s="16"/>
      <c r="AO99" s="16">
        <f t="shared" si="6"/>
        <v>0</v>
      </c>
      <c r="AP99" s="128"/>
      <c r="AQ99" s="15"/>
      <c r="AR99" s="15"/>
      <c r="AS99" s="15">
        <f t="shared" si="7"/>
        <v>0</v>
      </c>
      <c r="AT99" s="15"/>
      <c r="AU99" s="72"/>
      <c r="AV99" s="72"/>
      <c r="AW99" s="165">
        <f t="shared" si="8"/>
        <v>0</v>
      </c>
      <c r="AX99" s="72"/>
    </row>
    <row r="100" spans="1:50" ht="23.25" hidden="1">
      <c r="A100" s="18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6"/>
      <c r="M100" s="25"/>
      <c r="N100" s="2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6"/>
      <c r="AN100" s="16"/>
      <c r="AO100" s="16">
        <f t="shared" si="6"/>
        <v>0</v>
      </c>
      <c r="AP100" s="128"/>
      <c r="AQ100" s="15"/>
      <c r="AR100" s="15"/>
      <c r="AS100" s="15">
        <f t="shared" si="7"/>
        <v>0</v>
      </c>
      <c r="AT100" s="15"/>
      <c r="AU100" s="72"/>
      <c r="AV100" s="72"/>
      <c r="AW100" s="165">
        <f t="shared" si="8"/>
        <v>0</v>
      </c>
      <c r="AX100" s="72"/>
    </row>
    <row r="101" spans="1:50" ht="23.25" hidden="1">
      <c r="A101" s="18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6"/>
      <c r="M101" s="25"/>
      <c r="N101" s="2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6"/>
      <c r="AN101" s="16"/>
      <c r="AO101" s="16">
        <f aca="true" t="shared" si="9" ref="AO101:AO119">M101+AM101-AN101</f>
        <v>0</v>
      </c>
      <c r="AP101" s="128"/>
      <c r="AQ101" s="15"/>
      <c r="AR101" s="15"/>
      <c r="AS101" s="15">
        <f t="shared" si="7"/>
        <v>0</v>
      </c>
      <c r="AT101" s="15"/>
      <c r="AU101" s="72"/>
      <c r="AV101" s="72"/>
      <c r="AW101" s="165">
        <f t="shared" si="8"/>
        <v>0</v>
      </c>
      <c r="AX101" s="72"/>
    </row>
    <row r="102" spans="1:50" ht="23.25" hidden="1">
      <c r="A102" s="18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6"/>
      <c r="M102" s="25"/>
      <c r="N102" s="2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6"/>
      <c r="AN102" s="16"/>
      <c r="AO102" s="16">
        <f t="shared" si="9"/>
        <v>0</v>
      </c>
      <c r="AP102" s="128"/>
      <c r="AQ102" s="15"/>
      <c r="AR102" s="15"/>
      <c r="AS102" s="15">
        <f t="shared" si="7"/>
        <v>0</v>
      </c>
      <c r="AT102" s="15"/>
      <c r="AU102" s="72"/>
      <c r="AV102" s="72"/>
      <c r="AW102" s="165">
        <f t="shared" si="8"/>
        <v>0</v>
      </c>
      <c r="AX102" s="72"/>
    </row>
    <row r="103" spans="1:50" ht="23.25" hidden="1">
      <c r="A103" s="18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6"/>
      <c r="M103" s="25"/>
      <c r="N103" s="2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6"/>
      <c r="AN103" s="16"/>
      <c r="AO103" s="16">
        <f t="shared" si="9"/>
        <v>0</v>
      </c>
      <c r="AP103" s="128"/>
      <c r="AQ103" s="15"/>
      <c r="AR103" s="15"/>
      <c r="AS103" s="15">
        <f t="shared" si="7"/>
        <v>0</v>
      </c>
      <c r="AT103" s="15"/>
      <c r="AU103" s="72"/>
      <c r="AV103" s="72"/>
      <c r="AW103" s="165">
        <f t="shared" si="8"/>
        <v>0</v>
      </c>
      <c r="AX103" s="72"/>
    </row>
    <row r="104" spans="1:50" ht="23.25" hidden="1">
      <c r="A104" s="18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6"/>
      <c r="M104" s="25"/>
      <c r="N104" s="2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6"/>
      <c r="AN104" s="16"/>
      <c r="AO104" s="16">
        <f t="shared" si="9"/>
        <v>0</v>
      </c>
      <c r="AP104" s="128"/>
      <c r="AQ104" s="15"/>
      <c r="AR104" s="15"/>
      <c r="AS104" s="15">
        <f aca="true" t="shared" si="10" ref="AS104:AS120">AO104+AQ104-AR104</f>
        <v>0</v>
      </c>
      <c r="AT104" s="15"/>
      <c r="AU104" s="72"/>
      <c r="AV104" s="72"/>
      <c r="AW104" s="165">
        <f t="shared" si="8"/>
        <v>0</v>
      </c>
      <c r="AX104" s="72"/>
    </row>
    <row r="105" spans="1:50" ht="23.25" hidden="1">
      <c r="A105" s="18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6"/>
      <c r="M105" s="25"/>
      <c r="N105" s="2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6"/>
      <c r="AN105" s="16"/>
      <c r="AO105" s="16">
        <f t="shared" si="9"/>
        <v>0</v>
      </c>
      <c r="AP105" s="128"/>
      <c r="AQ105" s="15"/>
      <c r="AR105" s="15"/>
      <c r="AS105" s="15">
        <f t="shared" si="10"/>
        <v>0</v>
      </c>
      <c r="AT105" s="15"/>
      <c r="AU105" s="72"/>
      <c r="AV105" s="72"/>
      <c r="AW105" s="165">
        <f t="shared" si="8"/>
        <v>0</v>
      </c>
      <c r="AX105" s="72"/>
    </row>
    <row r="106" spans="1:50" ht="23.25" hidden="1">
      <c r="A106" s="18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6"/>
      <c r="M106" s="25"/>
      <c r="N106" s="2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6"/>
      <c r="AN106" s="16"/>
      <c r="AO106" s="16">
        <f t="shared" si="9"/>
        <v>0</v>
      </c>
      <c r="AP106" s="128"/>
      <c r="AQ106" s="15"/>
      <c r="AR106" s="15"/>
      <c r="AS106" s="15">
        <f t="shared" si="10"/>
        <v>0</v>
      </c>
      <c r="AT106" s="15"/>
      <c r="AU106" s="72"/>
      <c r="AV106" s="72"/>
      <c r="AW106" s="165">
        <f t="shared" si="8"/>
        <v>0</v>
      </c>
      <c r="AX106" s="72"/>
    </row>
    <row r="107" spans="1:50" ht="23.25" hidden="1">
      <c r="A107" s="18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6"/>
      <c r="M107" s="25"/>
      <c r="N107" s="2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6"/>
      <c r="AN107" s="16"/>
      <c r="AO107" s="16">
        <f t="shared" si="9"/>
        <v>0</v>
      </c>
      <c r="AP107" s="128"/>
      <c r="AQ107" s="15"/>
      <c r="AR107" s="15"/>
      <c r="AS107" s="15">
        <f t="shared" si="10"/>
        <v>0</v>
      </c>
      <c r="AT107" s="15"/>
      <c r="AU107" s="72"/>
      <c r="AV107" s="72"/>
      <c r="AW107" s="165">
        <f t="shared" si="8"/>
        <v>0</v>
      </c>
      <c r="AX107" s="72"/>
    </row>
    <row r="108" spans="1:50" ht="23.25" hidden="1">
      <c r="A108" s="18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6"/>
      <c r="M108" s="25"/>
      <c r="N108" s="2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6"/>
      <c r="AN108" s="16"/>
      <c r="AO108" s="16">
        <f t="shared" si="9"/>
        <v>0</v>
      </c>
      <c r="AP108" s="128"/>
      <c r="AQ108" s="15"/>
      <c r="AR108" s="15"/>
      <c r="AS108" s="15">
        <f t="shared" si="10"/>
        <v>0</v>
      </c>
      <c r="AT108" s="15"/>
      <c r="AU108" s="72"/>
      <c r="AV108" s="72"/>
      <c r="AW108" s="165">
        <f t="shared" si="8"/>
        <v>0</v>
      </c>
      <c r="AX108" s="72"/>
    </row>
    <row r="109" spans="1:50" ht="23.25" hidden="1">
      <c r="A109" s="18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6"/>
      <c r="M109" s="25"/>
      <c r="N109" s="2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6"/>
      <c r="AN109" s="16"/>
      <c r="AO109" s="16">
        <f t="shared" si="9"/>
        <v>0</v>
      </c>
      <c r="AP109" s="128"/>
      <c r="AQ109" s="15"/>
      <c r="AR109" s="15"/>
      <c r="AS109" s="15">
        <f t="shared" si="10"/>
        <v>0</v>
      </c>
      <c r="AT109" s="15"/>
      <c r="AU109" s="72"/>
      <c r="AV109" s="72"/>
      <c r="AW109" s="165">
        <f t="shared" si="8"/>
        <v>0</v>
      </c>
      <c r="AX109" s="72"/>
    </row>
    <row r="110" spans="1:50" ht="23.25" hidden="1">
      <c r="A110" s="18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6"/>
      <c r="M110" s="25"/>
      <c r="N110" s="2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6"/>
      <c r="AN110" s="16"/>
      <c r="AO110" s="16">
        <f t="shared" si="9"/>
        <v>0</v>
      </c>
      <c r="AP110" s="128"/>
      <c r="AQ110" s="15"/>
      <c r="AR110" s="15"/>
      <c r="AS110" s="15">
        <f t="shared" si="10"/>
        <v>0</v>
      </c>
      <c r="AT110" s="15"/>
      <c r="AU110" s="72"/>
      <c r="AV110" s="72"/>
      <c r="AW110" s="165">
        <f t="shared" si="8"/>
        <v>0</v>
      </c>
      <c r="AX110" s="72"/>
    </row>
    <row r="111" spans="1:50" ht="23.25" hidden="1">
      <c r="A111" s="18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6"/>
      <c r="M111" s="25"/>
      <c r="N111" s="2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6"/>
      <c r="AN111" s="16"/>
      <c r="AO111" s="16">
        <f t="shared" si="9"/>
        <v>0</v>
      </c>
      <c r="AP111" s="128"/>
      <c r="AQ111" s="15"/>
      <c r="AR111" s="15"/>
      <c r="AS111" s="15">
        <f t="shared" si="10"/>
        <v>0</v>
      </c>
      <c r="AT111" s="15"/>
      <c r="AU111" s="72"/>
      <c r="AV111" s="72"/>
      <c r="AW111" s="165">
        <f t="shared" si="8"/>
        <v>0</v>
      </c>
      <c r="AX111" s="72"/>
    </row>
    <row r="112" spans="1:50" ht="23.25" hidden="1">
      <c r="A112" s="18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6"/>
      <c r="M112" s="25"/>
      <c r="N112" s="2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6"/>
      <c r="AN112" s="16"/>
      <c r="AO112" s="16">
        <f t="shared" si="9"/>
        <v>0</v>
      </c>
      <c r="AP112" s="128"/>
      <c r="AQ112" s="15"/>
      <c r="AR112" s="15"/>
      <c r="AS112" s="15">
        <f t="shared" si="10"/>
        <v>0</v>
      </c>
      <c r="AT112" s="15"/>
      <c r="AU112" s="72"/>
      <c r="AV112" s="72"/>
      <c r="AW112" s="165">
        <f t="shared" si="8"/>
        <v>0</v>
      </c>
      <c r="AX112" s="72"/>
    </row>
    <row r="113" spans="1:50" ht="23.25" hidden="1">
      <c r="A113" s="18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6"/>
      <c r="M113" s="25"/>
      <c r="N113" s="2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6"/>
      <c r="AN113" s="16"/>
      <c r="AO113" s="16">
        <f t="shared" si="9"/>
        <v>0</v>
      </c>
      <c r="AP113" s="128"/>
      <c r="AQ113" s="15"/>
      <c r="AR113" s="15"/>
      <c r="AS113" s="15">
        <f t="shared" si="10"/>
        <v>0</v>
      </c>
      <c r="AT113" s="15"/>
      <c r="AU113" s="72"/>
      <c r="AV113" s="72"/>
      <c r="AW113" s="165">
        <f t="shared" si="8"/>
        <v>0</v>
      </c>
      <c r="AX113" s="72"/>
    </row>
    <row r="114" spans="1:50" ht="23.25" hidden="1">
      <c r="A114" s="18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6"/>
      <c r="M114" s="25"/>
      <c r="N114" s="2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6"/>
      <c r="AN114" s="16"/>
      <c r="AO114" s="16">
        <f t="shared" si="9"/>
        <v>0</v>
      </c>
      <c r="AP114" s="128"/>
      <c r="AQ114" s="15"/>
      <c r="AR114" s="15"/>
      <c r="AS114" s="15">
        <f t="shared" si="10"/>
        <v>0</v>
      </c>
      <c r="AT114" s="15"/>
      <c r="AU114" s="72"/>
      <c r="AV114" s="72"/>
      <c r="AW114" s="165">
        <f t="shared" si="8"/>
        <v>0</v>
      </c>
      <c r="AX114" s="72"/>
    </row>
    <row r="115" spans="1:50" ht="23.25" hidden="1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6"/>
      <c r="M115" s="25"/>
      <c r="N115" s="2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6"/>
      <c r="AN115" s="16"/>
      <c r="AO115" s="16">
        <f t="shared" si="9"/>
        <v>0</v>
      </c>
      <c r="AP115" s="128"/>
      <c r="AQ115" s="15"/>
      <c r="AR115" s="15"/>
      <c r="AS115" s="15">
        <f t="shared" si="10"/>
        <v>0</v>
      </c>
      <c r="AT115" s="15"/>
      <c r="AU115" s="72"/>
      <c r="AV115" s="72"/>
      <c r="AW115" s="165">
        <f t="shared" si="8"/>
        <v>0</v>
      </c>
      <c r="AX115" s="72"/>
    </row>
    <row r="116" spans="1:50" ht="23.25" hidden="1">
      <c r="A116" s="18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6"/>
      <c r="M116" s="25"/>
      <c r="N116" s="2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6"/>
      <c r="AN116" s="16"/>
      <c r="AO116" s="16">
        <f t="shared" si="9"/>
        <v>0</v>
      </c>
      <c r="AP116" s="128"/>
      <c r="AQ116" s="15"/>
      <c r="AR116" s="15"/>
      <c r="AS116" s="15">
        <f t="shared" si="10"/>
        <v>0</v>
      </c>
      <c r="AT116" s="15"/>
      <c r="AU116" s="72"/>
      <c r="AV116" s="72"/>
      <c r="AW116" s="165">
        <f t="shared" si="8"/>
        <v>0</v>
      </c>
      <c r="AX116" s="72"/>
    </row>
    <row r="117" spans="1:50" ht="23.25" hidden="1">
      <c r="A117" s="18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6"/>
      <c r="M117" s="25"/>
      <c r="N117" s="2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6"/>
      <c r="AN117" s="16"/>
      <c r="AO117" s="16">
        <f t="shared" si="9"/>
        <v>0</v>
      </c>
      <c r="AP117" s="128"/>
      <c r="AQ117" s="15"/>
      <c r="AR117" s="15"/>
      <c r="AS117" s="15">
        <f t="shared" si="10"/>
        <v>0</v>
      </c>
      <c r="AT117" s="15"/>
      <c r="AU117" s="72"/>
      <c r="AV117" s="72"/>
      <c r="AW117" s="165">
        <f t="shared" si="8"/>
        <v>0</v>
      </c>
      <c r="AX117" s="72"/>
    </row>
    <row r="118" spans="1:50" ht="23.25" hidden="1">
      <c r="A118" s="18"/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6"/>
      <c r="M118" s="25"/>
      <c r="N118" s="2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6"/>
      <c r="AN118" s="16"/>
      <c r="AO118" s="16">
        <f t="shared" si="9"/>
        <v>0</v>
      </c>
      <c r="AP118" s="128"/>
      <c r="AQ118" s="15"/>
      <c r="AR118" s="15"/>
      <c r="AS118" s="15">
        <f t="shared" si="10"/>
        <v>0</v>
      </c>
      <c r="AT118" s="15"/>
      <c r="AU118" s="72"/>
      <c r="AV118" s="72"/>
      <c r="AW118" s="165">
        <f t="shared" si="8"/>
        <v>0</v>
      </c>
      <c r="AX118" s="72"/>
    </row>
    <row r="119" spans="1:50" ht="21" customHeight="1">
      <c r="A119" s="27" t="s">
        <v>90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30"/>
      <c r="M119" s="31"/>
      <c r="N119" s="31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16"/>
      <c r="AN119" s="16"/>
      <c r="AO119" s="16">
        <f t="shared" si="9"/>
        <v>0</v>
      </c>
      <c r="AP119" s="125"/>
      <c r="AQ119" s="15"/>
      <c r="AR119" s="15"/>
      <c r="AS119" s="15">
        <f t="shared" si="10"/>
        <v>0</v>
      </c>
      <c r="AT119" s="15"/>
      <c r="AU119" s="72"/>
      <c r="AV119" s="72"/>
      <c r="AW119" s="165">
        <f t="shared" si="8"/>
        <v>0</v>
      </c>
      <c r="AX119" s="72"/>
    </row>
    <row r="120" spans="1:50" ht="23.25" hidden="1">
      <c r="A120" s="27" t="s">
        <v>91</v>
      </c>
      <c r="L120" s="34"/>
      <c r="M120" s="35">
        <v>0</v>
      </c>
      <c r="N120" s="35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7"/>
      <c r="AN120" s="37"/>
      <c r="AO120" s="16"/>
      <c r="AP120" s="126"/>
      <c r="AQ120" s="15"/>
      <c r="AR120" s="15"/>
      <c r="AS120" s="15">
        <f t="shared" si="10"/>
        <v>0</v>
      </c>
      <c r="AT120" s="15"/>
      <c r="AU120" s="72"/>
      <c r="AV120" s="72"/>
      <c r="AW120" s="165"/>
      <c r="AX120" s="72"/>
    </row>
    <row r="121" spans="1:51" s="39" customFormat="1" ht="24.75" customHeight="1">
      <c r="A121" s="208" t="s">
        <v>92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38"/>
      <c r="M121" s="74">
        <f>SUM(M9:M119)</f>
        <v>21780051.57</v>
      </c>
      <c r="N121" s="74">
        <f aca="true" t="shared" si="11" ref="N121:AN121">SUM(N8:N119)</f>
        <v>0</v>
      </c>
      <c r="O121" s="74">
        <f t="shared" si="11"/>
        <v>3032455.27</v>
      </c>
      <c r="P121" s="74">
        <f t="shared" si="11"/>
        <v>5194274.62</v>
      </c>
      <c r="Q121" s="74">
        <f t="shared" si="11"/>
        <v>962466.52</v>
      </c>
      <c r="R121" s="74">
        <f t="shared" si="11"/>
        <v>4323942.94</v>
      </c>
      <c r="S121" s="74">
        <f t="shared" si="11"/>
        <v>9135833.77</v>
      </c>
      <c r="T121" s="74">
        <f t="shared" si="11"/>
        <v>9428023.7</v>
      </c>
      <c r="U121" s="74">
        <f t="shared" si="11"/>
        <v>3064192.68</v>
      </c>
      <c r="V121" s="74">
        <f t="shared" si="11"/>
        <v>2578634.24</v>
      </c>
      <c r="W121" s="74">
        <f t="shared" si="11"/>
        <v>18530558.98</v>
      </c>
      <c r="X121" s="74">
        <f t="shared" si="11"/>
        <v>10152551.02</v>
      </c>
      <c r="Y121" s="74">
        <f t="shared" si="11"/>
        <v>36630017.91</v>
      </c>
      <c r="Z121" s="74">
        <f t="shared" si="11"/>
        <v>22967124.95</v>
      </c>
      <c r="AA121" s="74">
        <f t="shared" si="11"/>
        <v>1780065.69</v>
      </c>
      <c r="AB121" s="74">
        <f t="shared" si="11"/>
        <v>3075743.6</v>
      </c>
      <c r="AC121" s="74">
        <f t="shared" si="11"/>
        <v>9558391.82</v>
      </c>
      <c r="AD121" s="74">
        <f t="shared" si="11"/>
        <v>13166258.8</v>
      </c>
      <c r="AE121" s="74">
        <f t="shared" si="11"/>
        <v>9383975.39</v>
      </c>
      <c r="AF121" s="74">
        <f t="shared" si="11"/>
        <v>5873308.45</v>
      </c>
      <c r="AG121" s="74">
        <f t="shared" si="11"/>
        <v>3416636.67</v>
      </c>
      <c r="AH121" s="74">
        <f t="shared" si="11"/>
        <v>3683693.4800000004</v>
      </c>
      <c r="AI121" s="74">
        <f t="shared" si="11"/>
        <v>8237897.81</v>
      </c>
      <c r="AJ121" s="74">
        <f t="shared" si="11"/>
        <v>10047398.100000001</v>
      </c>
      <c r="AK121" s="74">
        <f t="shared" si="11"/>
        <v>49468223.42</v>
      </c>
      <c r="AL121" s="74">
        <f t="shared" si="11"/>
        <v>49389178.01</v>
      </c>
      <c r="AM121" s="74">
        <f t="shared" si="11"/>
        <v>5965141.36</v>
      </c>
      <c r="AN121" s="74">
        <f t="shared" si="11"/>
        <v>6949497.25</v>
      </c>
      <c r="AO121" s="75">
        <f>SUM(AO8:AO120)</f>
        <v>20795695.680000003</v>
      </c>
      <c r="AP121" s="75">
        <f>SUM(AP8:AP119)</f>
        <v>0</v>
      </c>
      <c r="AQ121" s="74">
        <f>SUM(AQ9:AQ119)</f>
        <v>0</v>
      </c>
      <c r="AR121" s="74">
        <f aca="true" t="shared" si="12" ref="AR121:AX121">SUM(AR8:AR119)</f>
        <v>0</v>
      </c>
      <c r="AS121" s="74">
        <f t="shared" si="12"/>
        <v>23257790.19</v>
      </c>
      <c r="AT121" s="74">
        <f t="shared" si="12"/>
        <v>0</v>
      </c>
      <c r="AU121" s="74">
        <f>SUM(AU8:AU120)</f>
        <v>1735112.6500000001</v>
      </c>
      <c r="AV121" s="74">
        <f>SUM(AV8:AV120)</f>
        <v>2990699.72</v>
      </c>
      <c r="AW121" s="74">
        <f>SUM(AW9:AW120)</f>
        <v>22002203.12</v>
      </c>
      <c r="AX121" s="74">
        <f t="shared" si="12"/>
        <v>0</v>
      </c>
      <c r="AY121" s="186"/>
    </row>
    <row r="122" spans="1:51" s="39" customFormat="1" ht="24" customHeight="1">
      <c r="A122" s="210" t="s">
        <v>93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38"/>
      <c r="M122" s="74">
        <f aca="true" t="shared" si="13" ref="M122:V123">M121</f>
        <v>21780051.57</v>
      </c>
      <c r="N122" s="74">
        <f t="shared" si="13"/>
        <v>0</v>
      </c>
      <c r="O122" s="74">
        <f t="shared" si="13"/>
        <v>3032455.27</v>
      </c>
      <c r="P122" s="74">
        <f t="shared" si="13"/>
        <v>5194274.62</v>
      </c>
      <c r="Q122" s="74">
        <f t="shared" si="13"/>
        <v>962466.52</v>
      </c>
      <c r="R122" s="74">
        <f t="shared" si="13"/>
        <v>4323942.94</v>
      </c>
      <c r="S122" s="74">
        <f t="shared" si="13"/>
        <v>9135833.77</v>
      </c>
      <c r="T122" s="74">
        <f t="shared" si="13"/>
        <v>9428023.7</v>
      </c>
      <c r="U122" s="74">
        <f t="shared" si="13"/>
        <v>3064192.68</v>
      </c>
      <c r="V122" s="74">
        <f t="shared" si="13"/>
        <v>2578634.24</v>
      </c>
      <c r="W122" s="74">
        <f aca="true" t="shared" si="14" ref="W122:AF123">W121</f>
        <v>18530558.98</v>
      </c>
      <c r="X122" s="74">
        <f t="shared" si="14"/>
        <v>10152551.02</v>
      </c>
      <c r="Y122" s="74">
        <f t="shared" si="14"/>
        <v>36630017.91</v>
      </c>
      <c r="Z122" s="74">
        <f t="shared" si="14"/>
        <v>22967124.95</v>
      </c>
      <c r="AA122" s="74">
        <f t="shared" si="14"/>
        <v>1780065.69</v>
      </c>
      <c r="AB122" s="74">
        <f t="shared" si="14"/>
        <v>3075743.6</v>
      </c>
      <c r="AC122" s="74">
        <f t="shared" si="14"/>
        <v>9558391.82</v>
      </c>
      <c r="AD122" s="74">
        <f t="shared" si="14"/>
        <v>13166258.8</v>
      </c>
      <c r="AE122" s="74">
        <f t="shared" si="14"/>
        <v>9383975.39</v>
      </c>
      <c r="AF122" s="74">
        <f t="shared" si="14"/>
        <v>5873308.45</v>
      </c>
      <c r="AG122" s="74">
        <f aca="true" t="shared" si="15" ref="AG122:AP123">AG121</f>
        <v>3416636.67</v>
      </c>
      <c r="AH122" s="74">
        <f t="shared" si="15"/>
        <v>3683693.4800000004</v>
      </c>
      <c r="AI122" s="74">
        <f t="shared" si="15"/>
        <v>8237897.81</v>
      </c>
      <c r="AJ122" s="74">
        <f t="shared" si="15"/>
        <v>10047398.100000001</v>
      </c>
      <c r="AK122" s="74">
        <f t="shared" si="15"/>
        <v>49468223.42</v>
      </c>
      <c r="AL122" s="74">
        <f t="shared" si="15"/>
        <v>49389178.01</v>
      </c>
      <c r="AM122" s="74">
        <f t="shared" si="15"/>
        <v>5965141.36</v>
      </c>
      <c r="AN122" s="74">
        <f t="shared" si="15"/>
        <v>6949497.25</v>
      </c>
      <c r="AO122" s="75">
        <f t="shared" si="15"/>
        <v>20795695.680000003</v>
      </c>
      <c r="AP122" s="75">
        <f t="shared" si="15"/>
        <v>0</v>
      </c>
      <c r="AQ122" s="74">
        <f aca="true" t="shared" si="16" ref="AQ122:AT123">AQ121</f>
        <v>0</v>
      </c>
      <c r="AR122" s="74">
        <f t="shared" si="16"/>
        <v>0</v>
      </c>
      <c r="AS122" s="74">
        <f t="shared" si="16"/>
        <v>23257790.19</v>
      </c>
      <c r="AT122" s="74">
        <f t="shared" si="16"/>
        <v>0</v>
      </c>
      <c r="AU122" s="74">
        <f aca="true" t="shared" si="17" ref="AU122:AX123">AU121</f>
        <v>1735112.6500000001</v>
      </c>
      <c r="AV122" s="74">
        <f t="shared" si="17"/>
        <v>2990699.72</v>
      </c>
      <c r="AW122" s="74">
        <f t="shared" si="17"/>
        <v>22002203.12</v>
      </c>
      <c r="AX122" s="74">
        <f t="shared" si="17"/>
        <v>0</v>
      </c>
      <c r="AY122" s="186"/>
    </row>
    <row r="123" spans="1:51" s="39" customFormat="1" ht="34.5" customHeight="1">
      <c r="A123" s="210" t="s">
        <v>2</v>
      </c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38"/>
      <c r="M123" s="74">
        <f t="shared" si="13"/>
        <v>21780051.57</v>
      </c>
      <c r="N123" s="74">
        <f t="shared" si="13"/>
        <v>0</v>
      </c>
      <c r="O123" s="74">
        <f t="shared" si="13"/>
        <v>3032455.27</v>
      </c>
      <c r="P123" s="74">
        <f t="shared" si="13"/>
        <v>5194274.62</v>
      </c>
      <c r="Q123" s="74">
        <f t="shared" si="13"/>
        <v>962466.52</v>
      </c>
      <c r="R123" s="74">
        <f t="shared" si="13"/>
        <v>4323942.94</v>
      </c>
      <c r="S123" s="74">
        <f t="shared" si="13"/>
        <v>9135833.77</v>
      </c>
      <c r="T123" s="74">
        <f t="shared" si="13"/>
        <v>9428023.7</v>
      </c>
      <c r="U123" s="74">
        <f t="shared" si="13"/>
        <v>3064192.68</v>
      </c>
      <c r="V123" s="74">
        <f t="shared" si="13"/>
        <v>2578634.24</v>
      </c>
      <c r="W123" s="74">
        <f t="shared" si="14"/>
        <v>18530558.98</v>
      </c>
      <c r="X123" s="74">
        <f t="shared" si="14"/>
        <v>10152551.02</v>
      </c>
      <c r="Y123" s="74">
        <f t="shared" si="14"/>
        <v>36630017.91</v>
      </c>
      <c r="Z123" s="74">
        <f t="shared" si="14"/>
        <v>22967124.95</v>
      </c>
      <c r="AA123" s="74">
        <f t="shared" si="14"/>
        <v>1780065.69</v>
      </c>
      <c r="AB123" s="74">
        <f t="shared" si="14"/>
        <v>3075743.6</v>
      </c>
      <c r="AC123" s="74">
        <f t="shared" si="14"/>
        <v>9558391.82</v>
      </c>
      <c r="AD123" s="74">
        <f t="shared" si="14"/>
        <v>13166258.8</v>
      </c>
      <c r="AE123" s="74">
        <f t="shared" si="14"/>
        <v>9383975.39</v>
      </c>
      <c r="AF123" s="74">
        <f t="shared" si="14"/>
        <v>5873308.45</v>
      </c>
      <c r="AG123" s="74">
        <f t="shared" si="15"/>
        <v>3416636.67</v>
      </c>
      <c r="AH123" s="74">
        <f t="shared" si="15"/>
        <v>3683693.4800000004</v>
      </c>
      <c r="AI123" s="74">
        <f t="shared" si="15"/>
        <v>8237897.81</v>
      </c>
      <c r="AJ123" s="74">
        <f t="shared" si="15"/>
        <v>10047398.100000001</v>
      </c>
      <c r="AK123" s="74">
        <f t="shared" si="15"/>
        <v>49468223.42</v>
      </c>
      <c r="AL123" s="74">
        <f t="shared" si="15"/>
        <v>49389178.01</v>
      </c>
      <c r="AM123" s="74">
        <f t="shared" si="15"/>
        <v>5965141.36</v>
      </c>
      <c r="AN123" s="74">
        <f t="shared" si="15"/>
        <v>6949497.25</v>
      </c>
      <c r="AO123" s="75">
        <f t="shared" si="15"/>
        <v>20795695.680000003</v>
      </c>
      <c r="AP123" s="75">
        <f t="shared" si="15"/>
        <v>0</v>
      </c>
      <c r="AQ123" s="74">
        <f t="shared" si="16"/>
        <v>0</v>
      </c>
      <c r="AR123" s="74">
        <f t="shared" si="16"/>
        <v>0</v>
      </c>
      <c r="AS123" s="74">
        <f t="shared" si="16"/>
        <v>23257790.19</v>
      </c>
      <c r="AT123" s="74">
        <f>AT122</f>
        <v>0</v>
      </c>
      <c r="AU123" s="74">
        <f t="shared" si="17"/>
        <v>1735112.6500000001</v>
      </c>
      <c r="AV123" s="74">
        <f t="shared" si="17"/>
        <v>2990699.72</v>
      </c>
      <c r="AW123" s="74">
        <f t="shared" si="17"/>
        <v>22002203.12</v>
      </c>
      <c r="AX123" s="74">
        <f t="shared" si="17"/>
        <v>0</v>
      </c>
      <c r="AY123" s="186"/>
    </row>
    <row r="124" spans="1:50" ht="34.5" customHeight="1">
      <c r="A124" s="200" t="s">
        <v>94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105"/>
      <c r="M124" s="106"/>
      <c r="N124" s="106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8"/>
      <c r="AN124" s="98"/>
      <c r="AO124" s="98"/>
      <c r="AP124" s="136"/>
      <c r="AQ124" s="15"/>
      <c r="AR124" s="15"/>
      <c r="AS124" s="15">
        <f>AO124+AQ124-AR124</f>
        <v>0</v>
      </c>
      <c r="AT124" s="15"/>
      <c r="AU124" s="72"/>
      <c r="AV124" s="72"/>
      <c r="AW124" s="165"/>
      <c r="AX124" s="72"/>
    </row>
    <row r="125" spans="1:50" ht="22.5" customHeight="1" hidden="1">
      <c r="A125" s="91" t="s">
        <v>95</v>
      </c>
      <c r="B125" s="104"/>
      <c r="C125" s="104"/>
      <c r="D125" s="104"/>
      <c r="E125" s="103"/>
      <c r="F125" s="103"/>
      <c r="G125" s="103"/>
      <c r="H125" s="103"/>
      <c r="I125" s="103"/>
      <c r="J125" s="103"/>
      <c r="K125" s="103"/>
      <c r="L125" s="83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6"/>
      <c r="AN125" s="86"/>
      <c r="AO125" s="86"/>
      <c r="AP125" s="137"/>
      <c r="AQ125" s="15"/>
      <c r="AR125" s="15"/>
      <c r="AS125" s="15"/>
      <c r="AT125" s="15"/>
      <c r="AU125" s="72"/>
      <c r="AV125" s="72"/>
      <c r="AW125" s="165"/>
      <c r="AX125" s="72"/>
    </row>
    <row r="126" spans="1:50" ht="25.5" customHeight="1">
      <c r="A126" s="18" t="s">
        <v>280</v>
      </c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14"/>
      <c r="M126" s="25">
        <v>0</v>
      </c>
      <c r="N126" s="81">
        <v>0</v>
      </c>
      <c r="O126" s="72">
        <v>437950</v>
      </c>
      <c r="P126" s="72"/>
      <c r="Q126" s="72">
        <f>356000+842050</f>
        <v>1198050</v>
      </c>
      <c r="R126" s="72"/>
      <c r="S126" s="72"/>
      <c r="T126" s="72"/>
      <c r="U126" s="72">
        <v>385600</v>
      </c>
      <c r="V126" s="72"/>
      <c r="W126" s="72"/>
      <c r="X126" s="72"/>
      <c r="Y126" s="72"/>
      <c r="Z126" s="72"/>
      <c r="AA126" s="72"/>
      <c r="AB126" s="72"/>
      <c r="AC126" s="72">
        <v>440000</v>
      </c>
      <c r="AD126" s="72"/>
      <c r="AE126" s="72">
        <v>1390000</v>
      </c>
      <c r="AF126" s="72"/>
      <c r="AG126" s="72"/>
      <c r="AH126" s="72"/>
      <c r="AI126" s="72"/>
      <c r="AJ126" s="72"/>
      <c r="AK126" s="72"/>
      <c r="AL126" s="72">
        <v>4568000</v>
      </c>
      <c r="AM126" s="73"/>
      <c r="AN126" s="73">
        <v>1655906.4</v>
      </c>
      <c r="AO126" s="16"/>
      <c r="AP126" s="128">
        <f>N126+AN126-AM126</f>
        <v>1655906.4</v>
      </c>
      <c r="AQ126" s="15"/>
      <c r="AR126" s="15"/>
      <c r="AS126" s="15"/>
      <c r="AT126" s="15">
        <v>38952.4</v>
      </c>
      <c r="AU126" s="72"/>
      <c r="AV126" s="72"/>
      <c r="AW126" s="165"/>
      <c r="AX126" s="72">
        <f>AT126+AV126-AU126</f>
        <v>38952.4</v>
      </c>
    </row>
    <row r="127" spans="1:50" ht="25.5" customHeight="1" hidden="1">
      <c r="A127" s="18" t="s">
        <v>96</v>
      </c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14"/>
      <c r="M127" s="25"/>
      <c r="N127" s="25"/>
      <c r="O127" s="15">
        <v>690</v>
      </c>
      <c r="P127" s="15"/>
      <c r="Q127" s="15"/>
      <c r="R127" s="15"/>
      <c r="S127" s="15">
        <v>261857.2</v>
      </c>
      <c r="T127" s="15"/>
      <c r="U127" s="15"/>
      <c r="V127" s="15"/>
      <c r="W127" s="15">
        <v>86863.1</v>
      </c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6"/>
      <c r="AN127" s="16"/>
      <c r="AO127" s="16"/>
      <c r="AP127" s="128">
        <f>N127+AN127-AM127</f>
        <v>0</v>
      </c>
      <c r="AQ127" s="15"/>
      <c r="AR127" s="15"/>
      <c r="AS127" s="15"/>
      <c r="AT127" s="15">
        <f aca="true" t="shared" si="18" ref="AT127:AT157">AP127+AR127-AQ127</f>
        <v>0</v>
      </c>
      <c r="AU127" s="72"/>
      <c r="AV127" s="72"/>
      <c r="AW127" s="165"/>
      <c r="AX127" s="72">
        <f aca="true" t="shared" si="19" ref="AX127:AX190">AT127+AV127-AU127</f>
        <v>0</v>
      </c>
    </row>
    <row r="128" spans="13:50" ht="23.25" hidden="1"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Q128" s="15"/>
      <c r="AR128" s="15"/>
      <c r="AS128" s="15"/>
      <c r="AT128" s="15">
        <f t="shared" si="18"/>
        <v>0</v>
      </c>
      <c r="AU128" s="72"/>
      <c r="AV128" s="72"/>
      <c r="AW128" s="165"/>
      <c r="AX128" s="72">
        <f t="shared" si="19"/>
        <v>0</v>
      </c>
    </row>
    <row r="129" spans="13:50" ht="23.25" hidden="1"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Q129" s="15"/>
      <c r="AR129" s="15"/>
      <c r="AS129" s="15"/>
      <c r="AT129" s="15">
        <f t="shared" si="18"/>
        <v>0</v>
      </c>
      <c r="AU129" s="72"/>
      <c r="AV129" s="72"/>
      <c r="AW129" s="165"/>
      <c r="AX129" s="72">
        <f t="shared" si="19"/>
        <v>0</v>
      </c>
    </row>
    <row r="130" spans="13:50" ht="23.25" hidden="1"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Q130" s="15"/>
      <c r="AR130" s="15"/>
      <c r="AS130" s="15"/>
      <c r="AT130" s="15">
        <f t="shared" si="18"/>
        <v>0</v>
      </c>
      <c r="AU130" s="72"/>
      <c r="AV130" s="72"/>
      <c r="AW130" s="165"/>
      <c r="AX130" s="72">
        <f t="shared" si="19"/>
        <v>0</v>
      </c>
    </row>
    <row r="131" spans="13:50" ht="23.25" hidden="1"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Q131" s="15"/>
      <c r="AR131" s="15"/>
      <c r="AS131" s="15"/>
      <c r="AT131" s="15">
        <f t="shared" si="18"/>
        <v>0</v>
      </c>
      <c r="AU131" s="72"/>
      <c r="AV131" s="72"/>
      <c r="AW131" s="165"/>
      <c r="AX131" s="72">
        <f t="shared" si="19"/>
        <v>0</v>
      </c>
    </row>
    <row r="132" spans="13:50" ht="23.25" hidden="1"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Q132" s="15"/>
      <c r="AR132" s="15"/>
      <c r="AS132" s="15"/>
      <c r="AT132" s="15">
        <f t="shared" si="18"/>
        <v>0</v>
      </c>
      <c r="AU132" s="72"/>
      <c r="AV132" s="72"/>
      <c r="AW132" s="165"/>
      <c r="AX132" s="72">
        <f t="shared" si="19"/>
        <v>0</v>
      </c>
    </row>
    <row r="133" spans="13:50" ht="23.25" hidden="1"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Q133" s="15"/>
      <c r="AR133" s="15"/>
      <c r="AS133" s="15"/>
      <c r="AT133" s="15">
        <f t="shared" si="18"/>
        <v>0</v>
      </c>
      <c r="AU133" s="72"/>
      <c r="AV133" s="72"/>
      <c r="AW133" s="165"/>
      <c r="AX133" s="72">
        <f t="shared" si="19"/>
        <v>0</v>
      </c>
    </row>
    <row r="134" spans="13:50" ht="23.25" hidden="1"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Q134" s="15"/>
      <c r="AR134" s="15"/>
      <c r="AS134" s="15"/>
      <c r="AT134" s="15">
        <f t="shared" si="18"/>
        <v>0</v>
      </c>
      <c r="AU134" s="72"/>
      <c r="AV134" s="72"/>
      <c r="AW134" s="165"/>
      <c r="AX134" s="72">
        <f t="shared" si="19"/>
        <v>0</v>
      </c>
    </row>
    <row r="135" spans="13:50" ht="23.25" hidden="1"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Q135" s="15"/>
      <c r="AR135" s="15"/>
      <c r="AS135" s="15"/>
      <c r="AT135" s="15">
        <f t="shared" si="18"/>
        <v>0</v>
      </c>
      <c r="AU135" s="72"/>
      <c r="AV135" s="72"/>
      <c r="AW135" s="165"/>
      <c r="AX135" s="72">
        <f t="shared" si="19"/>
        <v>0</v>
      </c>
    </row>
    <row r="136" spans="13:50" ht="23.25" hidden="1"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Q136" s="15"/>
      <c r="AR136" s="15"/>
      <c r="AS136" s="15"/>
      <c r="AT136" s="15">
        <f t="shared" si="18"/>
        <v>0</v>
      </c>
      <c r="AU136" s="72"/>
      <c r="AV136" s="72"/>
      <c r="AW136" s="165"/>
      <c r="AX136" s="72">
        <f t="shared" si="19"/>
        <v>0</v>
      </c>
    </row>
    <row r="137" spans="13:50" ht="23.25" hidden="1"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Q137" s="15"/>
      <c r="AR137" s="15"/>
      <c r="AS137" s="15"/>
      <c r="AT137" s="15">
        <f t="shared" si="18"/>
        <v>0</v>
      </c>
      <c r="AU137" s="72"/>
      <c r="AV137" s="72"/>
      <c r="AW137" s="165"/>
      <c r="AX137" s="72">
        <f t="shared" si="19"/>
        <v>0</v>
      </c>
    </row>
    <row r="138" spans="13:50" ht="23.25" hidden="1"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Q138" s="15"/>
      <c r="AR138" s="15"/>
      <c r="AS138" s="15"/>
      <c r="AT138" s="15">
        <f t="shared" si="18"/>
        <v>0</v>
      </c>
      <c r="AU138" s="72"/>
      <c r="AV138" s="72"/>
      <c r="AW138" s="165"/>
      <c r="AX138" s="72">
        <f t="shared" si="19"/>
        <v>0</v>
      </c>
    </row>
    <row r="139" spans="13:50" ht="23.25" hidden="1"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Q139" s="15"/>
      <c r="AR139" s="15"/>
      <c r="AS139" s="15"/>
      <c r="AT139" s="15">
        <f t="shared" si="18"/>
        <v>0</v>
      </c>
      <c r="AU139" s="72"/>
      <c r="AV139" s="72"/>
      <c r="AW139" s="165"/>
      <c r="AX139" s="72">
        <f t="shared" si="19"/>
        <v>0</v>
      </c>
    </row>
    <row r="140" spans="13:50" ht="23.25" hidden="1"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Q140" s="15"/>
      <c r="AR140" s="15"/>
      <c r="AS140" s="15"/>
      <c r="AT140" s="15">
        <f t="shared" si="18"/>
        <v>0</v>
      </c>
      <c r="AU140" s="72"/>
      <c r="AV140" s="72"/>
      <c r="AW140" s="165"/>
      <c r="AX140" s="72">
        <f t="shared" si="19"/>
        <v>0</v>
      </c>
    </row>
    <row r="141" spans="13:50" ht="23.25" hidden="1"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Q141" s="15"/>
      <c r="AR141" s="15"/>
      <c r="AS141" s="15"/>
      <c r="AT141" s="15">
        <f t="shared" si="18"/>
        <v>0</v>
      </c>
      <c r="AU141" s="72"/>
      <c r="AV141" s="72"/>
      <c r="AW141" s="165"/>
      <c r="AX141" s="72">
        <f t="shared" si="19"/>
        <v>0</v>
      </c>
    </row>
    <row r="142" spans="1:50" ht="25.5" customHeight="1" hidden="1">
      <c r="A142" s="22" t="s">
        <v>43</v>
      </c>
      <c r="B142" s="19" t="s">
        <v>97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14"/>
      <c r="M142" s="25"/>
      <c r="N142" s="2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6"/>
      <c r="AN142" s="16"/>
      <c r="AO142" s="16"/>
      <c r="AP142" s="128">
        <f aca="true" t="shared" si="20" ref="AP142:AP173">N142+AN142-AM142</f>
        <v>0</v>
      </c>
      <c r="AQ142" s="15"/>
      <c r="AR142" s="15"/>
      <c r="AS142" s="15"/>
      <c r="AT142" s="15">
        <f t="shared" si="18"/>
        <v>0</v>
      </c>
      <c r="AU142" s="72"/>
      <c r="AV142" s="72"/>
      <c r="AW142" s="165"/>
      <c r="AX142" s="72">
        <f t="shared" si="19"/>
        <v>0</v>
      </c>
    </row>
    <row r="143" spans="1:50" ht="25.5" customHeight="1" hidden="1">
      <c r="A143" s="22" t="s">
        <v>43</v>
      </c>
      <c r="B143" s="19" t="s">
        <v>97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14"/>
      <c r="M143" s="25"/>
      <c r="N143" s="2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6"/>
      <c r="AN143" s="16"/>
      <c r="AO143" s="16"/>
      <c r="AP143" s="128">
        <f t="shared" si="20"/>
        <v>0</v>
      </c>
      <c r="AQ143" s="15"/>
      <c r="AR143" s="15"/>
      <c r="AS143" s="15"/>
      <c r="AT143" s="15">
        <f t="shared" si="18"/>
        <v>0</v>
      </c>
      <c r="AU143" s="72"/>
      <c r="AV143" s="72"/>
      <c r="AW143" s="165"/>
      <c r="AX143" s="72">
        <f t="shared" si="19"/>
        <v>0</v>
      </c>
    </row>
    <row r="144" spans="1:51" s="47" customFormat="1" ht="25.5" customHeight="1" hidden="1">
      <c r="A144" s="18" t="s">
        <v>98</v>
      </c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14"/>
      <c r="M144" s="25"/>
      <c r="N144" s="2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6"/>
      <c r="AN144" s="16"/>
      <c r="AO144" s="16"/>
      <c r="AP144" s="128">
        <f t="shared" si="20"/>
        <v>0</v>
      </c>
      <c r="AQ144" s="46"/>
      <c r="AR144" s="46"/>
      <c r="AS144" s="46"/>
      <c r="AT144" s="15">
        <f t="shared" si="18"/>
        <v>0</v>
      </c>
      <c r="AU144" s="169"/>
      <c r="AV144" s="169"/>
      <c r="AW144" s="167"/>
      <c r="AX144" s="72">
        <f t="shared" si="19"/>
        <v>0</v>
      </c>
      <c r="AY144" s="187"/>
    </row>
    <row r="145" spans="1:50" ht="25.5" customHeight="1">
      <c r="A145" s="18" t="s">
        <v>99</v>
      </c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14"/>
      <c r="M145" s="25"/>
      <c r="N145" s="2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6"/>
      <c r="AN145" s="16"/>
      <c r="AO145" s="16"/>
      <c r="AP145" s="128">
        <f t="shared" si="20"/>
        <v>0</v>
      </c>
      <c r="AQ145" s="15"/>
      <c r="AR145" s="15"/>
      <c r="AS145" s="15"/>
      <c r="AT145" s="15">
        <f t="shared" si="18"/>
        <v>0</v>
      </c>
      <c r="AU145" s="72"/>
      <c r="AV145" s="72"/>
      <c r="AW145" s="165"/>
      <c r="AX145" s="72">
        <f t="shared" si="19"/>
        <v>0</v>
      </c>
    </row>
    <row r="146" spans="1:50" ht="25.5" customHeight="1">
      <c r="A146" s="18" t="s">
        <v>100</v>
      </c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14"/>
      <c r="M146" s="25"/>
      <c r="N146" s="25">
        <v>0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6"/>
      <c r="AN146" s="16">
        <v>33000</v>
      </c>
      <c r="AO146" s="16"/>
      <c r="AP146" s="128">
        <f t="shared" si="20"/>
        <v>33000</v>
      </c>
      <c r="AQ146" s="15"/>
      <c r="AR146" s="15"/>
      <c r="AS146" s="15"/>
      <c r="AT146" s="15">
        <v>0</v>
      </c>
      <c r="AU146" s="72"/>
      <c r="AV146" s="72"/>
      <c r="AW146" s="165"/>
      <c r="AX146" s="72">
        <f t="shared" si="19"/>
        <v>0</v>
      </c>
    </row>
    <row r="147" spans="1:50" ht="23.25" hidden="1">
      <c r="A147" s="18" t="s">
        <v>101</v>
      </c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14"/>
      <c r="M147" s="25"/>
      <c r="N147" s="2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6"/>
      <c r="AN147" s="16"/>
      <c r="AO147" s="16"/>
      <c r="AP147" s="128">
        <f t="shared" si="20"/>
        <v>0</v>
      </c>
      <c r="AQ147" s="15"/>
      <c r="AR147" s="15"/>
      <c r="AS147" s="15"/>
      <c r="AT147" s="15">
        <f t="shared" si="18"/>
        <v>0</v>
      </c>
      <c r="AU147" s="72"/>
      <c r="AV147" s="72"/>
      <c r="AW147" s="165"/>
      <c r="AX147" s="72">
        <f t="shared" si="19"/>
        <v>0</v>
      </c>
    </row>
    <row r="148" spans="1:50" ht="23.25" hidden="1">
      <c r="A148" s="48" t="s">
        <v>102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14"/>
      <c r="M148" s="25"/>
      <c r="N148" s="2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>
        <v>524000</v>
      </c>
      <c r="AM148" s="16"/>
      <c r="AN148" s="16"/>
      <c r="AO148" s="16"/>
      <c r="AP148" s="128">
        <f t="shared" si="20"/>
        <v>0</v>
      </c>
      <c r="AQ148" s="15"/>
      <c r="AR148" s="15"/>
      <c r="AS148" s="15"/>
      <c r="AT148" s="15">
        <f t="shared" si="18"/>
        <v>0</v>
      </c>
      <c r="AU148" s="72"/>
      <c r="AV148" s="72"/>
      <c r="AW148" s="165"/>
      <c r="AX148" s="72">
        <f t="shared" si="19"/>
        <v>0</v>
      </c>
    </row>
    <row r="149" spans="1:50" ht="23.25" hidden="1">
      <c r="A149" s="48" t="s">
        <v>103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14"/>
      <c r="M149" s="25"/>
      <c r="N149" s="2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>
        <v>435862.5</v>
      </c>
      <c r="AM149" s="16"/>
      <c r="AN149" s="16"/>
      <c r="AO149" s="16"/>
      <c r="AP149" s="128">
        <f t="shared" si="20"/>
        <v>0</v>
      </c>
      <c r="AQ149" s="15"/>
      <c r="AR149" s="15"/>
      <c r="AS149" s="15"/>
      <c r="AT149" s="15">
        <f t="shared" si="18"/>
        <v>0</v>
      </c>
      <c r="AU149" s="72"/>
      <c r="AV149" s="72"/>
      <c r="AW149" s="165"/>
      <c r="AX149" s="72">
        <f t="shared" si="19"/>
        <v>0</v>
      </c>
    </row>
    <row r="150" spans="1:50" ht="23.25" hidden="1">
      <c r="A150" s="49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14"/>
      <c r="M150" s="25"/>
      <c r="N150" s="2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6"/>
      <c r="AN150" s="16"/>
      <c r="AO150" s="16"/>
      <c r="AP150" s="128">
        <f t="shared" si="20"/>
        <v>0</v>
      </c>
      <c r="AQ150" s="15"/>
      <c r="AR150" s="15"/>
      <c r="AS150" s="15"/>
      <c r="AT150" s="15">
        <f t="shared" si="18"/>
        <v>0</v>
      </c>
      <c r="AU150" s="72"/>
      <c r="AV150" s="72"/>
      <c r="AW150" s="165"/>
      <c r="AX150" s="72">
        <f t="shared" si="19"/>
        <v>0</v>
      </c>
    </row>
    <row r="151" spans="1:50" ht="23.25" hidden="1">
      <c r="A151" s="4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14"/>
      <c r="M151" s="25"/>
      <c r="N151" s="2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6"/>
      <c r="AN151" s="16"/>
      <c r="AO151" s="16"/>
      <c r="AP151" s="128">
        <f t="shared" si="20"/>
        <v>0</v>
      </c>
      <c r="AQ151" s="15"/>
      <c r="AR151" s="15"/>
      <c r="AS151" s="15"/>
      <c r="AT151" s="15">
        <f t="shared" si="18"/>
        <v>0</v>
      </c>
      <c r="AU151" s="72"/>
      <c r="AV151" s="72"/>
      <c r="AW151" s="165"/>
      <c r="AX151" s="72">
        <f t="shared" si="19"/>
        <v>0</v>
      </c>
    </row>
    <row r="152" spans="1:50" ht="23.25" hidden="1">
      <c r="A152" s="4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14"/>
      <c r="M152" s="25"/>
      <c r="N152" s="2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6"/>
      <c r="AN152" s="16"/>
      <c r="AO152" s="16"/>
      <c r="AP152" s="128">
        <f t="shared" si="20"/>
        <v>0</v>
      </c>
      <c r="AQ152" s="15"/>
      <c r="AR152" s="15"/>
      <c r="AS152" s="15"/>
      <c r="AT152" s="15">
        <f t="shared" si="18"/>
        <v>0</v>
      </c>
      <c r="AU152" s="72"/>
      <c r="AV152" s="72"/>
      <c r="AW152" s="165"/>
      <c r="AX152" s="72">
        <f t="shared" si="19"/>
        <v>0</v>
      </c>
    </row>
    <row r="153" spans="1:50" ht="23.25" hidden="1">
      <c r="A153" s="49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14"/>
      <c r="M153" s="25"/>
      <c r="N153" s="2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6"/>
      <c r="AN153" s="16"/>
      <c r="AO153" s="16"/>
      <c r="AP153" s="128">
        <f t="shared" si="20"/>
        <v>0</v>
      </c>
      <c r="AQ153" s="15"/>
      <c r="AR153" s="15"/>
      <c r="AS153" s="15"/>
      <c r="AT153" s="15">
        <f t="shared" si="18"/>
        <v>0</v>
      </c>
      <c r="AU153" s="72"/>
      <c r="AV153" s="72"/>
      <c r="AW153" s="165"/>
      <c r="AX153" s="72">
        <f t="shared" si="19"/>
        <v>0</v>
      </c>
    </row>
    <row r="154" spans="1:50" ht="23.25" hidden="1">
      <c r="A154" s="48" t="s">
        <v>104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14"/>
      <c r="M154" s="25"/>
      <c r="N154" s="2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>
        <v>10</v>
      </c>
      <c r="AM154" s="16"/>
      <c r="AN154" s="16"/>
      <c r="AO154" s="16"/>
      <c r="AP154" s="128">
        <f t="shared" si="20"/>
        <v>0</v>
      </c>
      <c r="AQ154" s="15"/>
      <c r="AR154" s="15"/>
      <c r="AS154" s="15"/>
      <c r="AT154" s="15">
        <f t="shared" si="18"/>
        <v>0</v>
      </c>
      <c r="AU154" s="72"/>
      <c r="AV154" s="72"/>
      <c r="AW154" s="165"/>
      <c r="AX154" s="72">
        <f t="shared" si="19"/>
        <v>0</v>
      </c>
    </row>
    <row r="155" spans="1:50" ht="23.25" hidden="1">
      <c r="A155" s="48" t="s">
        <v>105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14"/>
      <c r="M155" s="25"/>
      <c r="N155" s="2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>
        <v>20000</v>
      </c>
      <c r="AM155" s="16"/>
      <c r="AN155" s="16"/>
      <c r="AO155" s="16"/>
      <c r="AP155" s="128">
        <f t="shared" si="20"/>
        <v>0</v>
      </c>
      <c r="AQ155" s="15"/>
      <c r="AR155" s="15"/>
      <c r="AS155" s="15"/>
      <c r="AT155" s="15">
        <f t="shared" si="18"/>
        <v>0</v>
      </c>
      <c r="AU155" s="72"/>
      <c r="AV155" s="72"/>
      <c r="AW155" s="165"/>
      <c r="AX155" s="72">
        <f t="shared" si="19"/>
        <v>0</v>
      </c>
    </row>
    <row r="156" spans="1:50" ht="23.25" hidden="1">
      <c r="A156" s="4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14"/>
      <c r="M156" s="25"/>
      <c r="N156" s="2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6"/>
      <c r="AN156" s="16"/>
      <c r="AO156" s="16"/>
      <c r="AP156" s="128">
        <f t="shared" si="20"/>
        <v>0</v>
      </c>
      <c r="AQ156" s="15"/>
      <c r="AR156" s="15"/>
      <c r="AS156" s="15"/>
      <c r="AT156" s="15">
        <f t="shared" si="18"/>
        <v>0</v>
      </c>
      <c r="AU156" s="72"/>
      <c r="AV156" s="72"/>
      <c r="AW156" s="165"/>
      <c r="AX156" s="72">
        <f t="shared" si="19"/>
        <v>0</v>
      </c>
    </row>
    <row r="157" spans="1:50" ht="23.25" hidden="1">
      <c r="A157" s="48" t="s">
        <v>106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14"/>
      <c r="M157" s="25"/>
      <c r="N157" s="2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>
        <v>50600</v>
      </c>
      <c r="AM157" s="16"/>
      <c r="AN157" s="16"/>
      <c r="AO157" s="16"/>
      <c r="AP157" s="128">
        <f t="shared" si="20"/>
        <v>0</v>
      </c>
      <c r="AQ157" s="15"/>
      <c r="AR157" s="15"/>
      <c r="AS157" s="15"/>
      <c r="AT157" s="15">
        <f t="shared" si="18"/>
        <v>0</v>
      </c>
      <c r="AU157" s="72"/>
      <c r="AV157" s="72"/>
      <c r="AW157" s="165"/>
      <c r="AX157" s="72">
        <f t="shared" si="19"/>
        <v>0</v>
      </c>
    </row>
    <row r="158" spans="1:50" ht="23.25" hidden="1">
      <c r="A158" s="48" t="s">
        <v>107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14"/>
      <c r="M158" s="25"/>
      <c r="N158" s="2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>
        <v>5400</v>
      </c>
      <c r="AM158" s="16"/>
      <c r="AN158" s="16"/>
      <c r="AO158" s="16"/>
      <c r="AP158" s="128">
        <f t="shared" si="20"/>
        <v>0</v>
      </c>
      <c r="AQ158" s="15"/>
      <c r="AR158" s="15"/>
      <c r="AS158" s="15"/>
      <c r="AT158" s="15">
        <f aca="true" t="shared" si="21" ref="AT158:AT188">AP158+AR158-AQ158</f>
        <v>0</v>
      </c>
      <c r="AU158" s="72"/>
      <c r="AV158" s="72"/>
      <c r="AW158" s="165"/>
      <c r="AX158" s="72">
        <f t="shared" si="19"/>
        <v>0</v>
      </c>
    </row>
    <row r="159" spans="1:50" ht="23.25" hidden="1">
      <c r="A159" s="48" t="s">
        <v>108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14"/>
      <c r="M159" s="25"/>
      <c r="N159" s="2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>
        <v>75000</v>
      </c>
      <c r="AM159" s="16"/>
      <c r="AN159" s="16"/>
      <c r="AO159" s="16"/>
      <c r="AP159" s="128">
        <f t="shared" si="20"/>
        <v>0</v>
      </c>
      <c r="AQ159" s="15"/>
      <c r="AR159" s="15"/>
      <c r="AS159" s="15"/>
      <c r="AT159" s="15">
        <f t="shared" si="21"/>
        <v>0</v>
      </c>
      <c r="AU159" s="72"/>
      <c r="AV159" s="72"/>
      <c r="AW159" s="165"/>
      <c r="AX159" s="72">
        <f t="shared" si="19"/>
        <v>0</v>
      </c>
    </row>
    <row r="160" spans="1:50" ht="23.25" hidden="1">
      <c r="A160" s="4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14"/>
      <c r="M160" s="25"/>
      <c r="N160" s="2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6"/>
      <c r="AN160" s="16"/>
      <c r="AO160" s="16"/>
      <c r="AP160" s="128">
        <f t="shared" si="20"/>
        <v>0</v>
      </c>
      <c r="AQ160" s="15"/>
      <c r="AR160" s="15"/>
      <c r="AS160" s="15"/>
      <c r="AT160" s="15">
        <f t="shared" si="21"/>
        <v>0</v>
      </c>
      <c r="AU160" s="72"/>
      <c r="AV160" s="72"/>
      <c r="AW160" s="165"/>
      <c r="AX160" s="72">
        <f t="shared" si="19"/>
        <v>0</v>
      </c>
    </row>
    <row r="161" spans="1:50" ht="23.25" hidden="1">
      <c r="A161" s="48" t="s">
        <v>109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14"/>
      <c r="M161" s="25"/>
      <c r="N161" s="2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>
        <v>30000</v>
      </c>
      <c r="AM161" s="16"/>
      <c r="AN161" s="16"/>
      <c r="AO161" s="16"/>
      <c r="AP161" s="128">
        <f t="shared" si="20"/>
        <v>0</v>
      </c>
      <c r="AQ161" s="15"/>
      <c r="AR161" s="15"/>
      <c r="AS161" s="15"/>
      <c r="AT161" s="15">
        <f t="shared" si="21"/>
        <v>0</v>
      </c>
      <c r="AU161" s="72"/>
      <c r="AV161" s="72"/>
      <c r="AW161" s="165"/>
      <c r="AX161" s="72">
        <f t="shared" si="19"/>
        <v>0</v>
      </c>
    </row>
    <row r="162" spans="1:50" ht="23.25" hidden="1">
      <c r="A162" s="18" t="s">
        <v>110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14"/>
      <c r="M162" s="25"/>
      <c r="N162" s="2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>
        <v>23884</v>
      </c>
      <c r="AM162" s="16"/>
      <c r="AN162" s="16"/>
      <c r="AO162" s="16"/>
      <c r="AP162" s="128">
        <f t="shared" si="20"/>
        <v>0</v>
      </c>
      <c r="AQ162" s="15"/>
      <c r="AR162" s="15"/>
      <c r="AS162" s="15"/>
      <c r="AT162" s="15">
        <f t="shared" si="21"/>
        <v>0</v>
      </c>
      <c r="AU162" s="72"/>
      <c r="AV162" s="72"/>
      <c r="AW162" s="165"/>
      <c r="AX162" s="72">
        <f t="shared" si="19"/>
        <v>0</v>
      </c>
    </row>
    <row r="163" spans="1:50" ht="23.25" hidden="1">
      <c r="A163" s="18" t="s">
        <v>111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14"/>
      <c r="M163" s="25"/>
      <c r="N163" s="2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>
        <v>162</v>
      </c>
      <c r="AM163" s="16"/>
      <c r="AN163" s="16"/>
      <c r="AO163" s="16"/>
      <c r="AP163" s="128">
        <f t="shared" si="20"/>
        <v>0</v>
      </c>
      <c r="AQ163" s="15"/>
      <c r="AR163" s="15"/>
      <c r="AS163" s="15"/>
      <c r="AT163" s="15">
        <f t="shared" si="21"/>
        <v>0</v>
      </c>
      <c r="AU163" s="72"/>
      <c r="AV163" s="72"/>
      <c r="AW163" s="165"/>
      <c r="AX163" s="72">
        <f t="shared" si="19"/>
        <v>0</v>
      </c>
    </row>
    <row r="164" spans="1:50" ht="23.25" hidden="1">
      <c r="A164" s="18" t="s">
        <v>98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14"/>
      <c r="M164" s="25"/>
      <c r="N164" s="25">
        <v>0</v>
      </c>
      <c r="O164" s="15"/>
      <c r="P164" s="15"/>
      <c r="Q164" s="15"/>
      <c r="R164" s="15"/>
      <c r="S164" s="15"/>
      <c r="T164" s="15"/>
      <c r="U164" s="15">
        <v>35000</v>
      </c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6"/>
      <c r="AN164" s="16"/>
      <c r="AO164" s="16"/>
      <c r="AP164" s="128">
        <f t="shared" si="20"/>
        <v>0</v>
      </c>
      <c r="AQ164" s="15"/>
      <c r="AR164" s="15"/>
      <c r="AS164" s="15"/>
      <c r="AT164" s="15">
        <f t="shared" si="21"/>
        <v>0</v>
      </c>
      <c r="AU164" s="72"/>
      <c r="AV164" s="72"/>
      <c r="AW164" s="165"/>
      <c r="AX164" s="72">
        <f t="shared" si="19"/>
        <v>0</v>
      </c>
    </row>
    <row r="165" spans="1:50" ht="23.25" hidden="1">
      <c r="A165" s="18" t="s">
        <v>112</v>
      </c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14"/>
      <c r="M165" s="25"/>
      <c r="N165" s="25">
        <v>0</v>
      </c>
      <c r="O165" s="15"/>
      <c r="P165" s="15"/>
      <c r="Q165" s="15">
        <f>310000</f>
        <v>310000</v>
      </c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6"/>
      <c r="AN165" s="16"/>
      <c r="AO165" s="16"/>
      <c r="AP165" s="128">
        <f t="shared" si="20"/>
        <v>0</v>
      </c>
      <c r="AQ165" s="15"/>
      <c r="AR165" s="15"/>
      <c r="AS165" s="15"/>
      <c r="AT165" s="15">
        <f t="shared" si="21"/>
        <v>0</v>
      </c>
      <c r="AU165" s="72"/>
      <c r="AV165" s="72"/>
      <c r="AW165" s="165"/>
      <c r="AX165" s="72">
        <f t="shared" si="19"/>
        <v>0</v>
      </c>
    </row>
    <row r="166" spans="1:50" ht="23.25" hidden="1">
      <c r="A166" s="18" t="s">
        <v>113</v>
      </c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14"/>
      <c r="M166" s="25"/>
      <c r="N166" s="25">
        <v>0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>
        <f>362758.28</f>
        <v>362758.28</v>
      </c>
      <c r="AJ166" s="15"/>
      <c r="AK166" s="15"/>
      <c r="AL166" s="15"/>
      <c r="AM166" s="16"/>
      <c r="AN166" s="16"/>
      <c r="AO166" s="16"/>
      <c r="AP166" s="128">
        <f t="shared" si="20"/>
        <v>0</v>
      </c>
      <c r="AQ166" s="15"/>
      <c r="AR166" s="15"/>
      <c r="AS166" s="15"/>
      <c r="AT166" s="15">
        <f t="shared" si="21"/>
        <v>0</v>
      </c>
      <c r="AU166" s="72"/>
      <c r="AV166" s="72"/>
      <c r="AW166" s="165"/>
      <c r="AX166" s="72">
        <f t="shared" si="19"/>
        <v>0</v>
      </c>
    </row>
    <row r="167" spans="1:50" ht="23.25" hidden="1">
      <c r="A167" s="18" t="s">
        <v>114</v>
      </c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14"/>
      <c r="M167" s="25"/>
      <c r="N167" s="2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>
        <v>18000000</v>
      </c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6"/>
      <c r="AN167" s="16"/>
      <c r="AO167" s="16"/>
      <c r="AP167" s="128">
        <f t="shared" si="20"/>
        <v>0</v>
      </c>
      <c r="AQ167" s="15"/>
      <c r="AR167" s="15"/>
      <c r="AS167" s="15"/>
      <c r="AT167" s="15">
        <f t="shared" si="21"/>
        <v>0</v>
      </c>
      <c r="AU167" s="72"/>
      <c r="AV167" s="72"/>
      <c r="AW167" s="165"/>
      <c r="AX167" s="72">
        <f t="shared" si="19"/>
        <v>0</v>
      </c>
    </row>
    <row r="168" spans="1:50" ht="23.25" hidden="1">
      <c r="A168" s="18"/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14"/>
      <c r="M168" s="25"/>
      <c r="N168" s="2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6"/>
      <c r="AN168" s="16"/>
      <c r="AO168" s="16"/>
      <c r="AP168" s="128">
        <f t="shared" si="20"/>
        <v>0</v>
      </c>
      <c r="AQ168" s="15"/>
      <c r="AR168" s="15"/>
      <c r="AS168" s="15"/>
      <c r="AT168" s="15">
        <f t="shared" si="21"/>
        <v>0</v>
      </c>
      <c r="AU168" s="72"/>
      <c r="AV168" s="72"/>
      <c r="AW168" s="165"/>
      <c r="AX168" s="72">
        <f t="shared" si="19"/>
        <v>0</v>
      </c>
    </row>
    <row r="169" spans="1:50" ht="23.25" hidden="1">
      <c r="A169" s="18"/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14"/>
      <c r="M169" s="25"/>
      <c r="N169" s="2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6"/>
      <c r="AN169" s="16"/>
      <c r="AO169" s="16"/>
      <c r="AP169" s="128">
        <f t="shared" si="20"/>
        <v>0</v>
      </c>
      <c r="AQ169" s="15"/>
      <c r="AR169" s="15"/>
      <c r="AS169" s="15"/>
      <c r="AT169" s="15">
        <f t="shared" si="21"/>
        <v>0</v>
      </c>
      <c r="AU169" s="72"/>
      <c r="AV169" s="72"/>
      <c r="AW169" s="165"/>
      <c r="AX169" s="72">
        <f t="shared" si="19"/>
        <v>0</v>
      </c>
    </row>
    <row r="170" spans="1:50" ht="23.25" hidden="1">
      <c r="A170" s="18"/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14"/>
      <c r="M170" s="25"/>
      <c r="N170" s="2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6"/>
      <c r="AN170" s="16"/>
      <c r="AO170" s="16"/>
      <c r="AP170" s="128">
        <f t="shared" si="20"/>
        <v>0</v>
      </c>
      <c r="AQ170" s="15"/>
      <c r="AR170" s="15"/>
      <c r="AS170" s="15"/>
      <c r="AT170" s="15">
        <f t="shared" si="21"/>
        <v>0</v>
      </c>
      <c r="AU170" s="72"/>
      <c r="AV170" s="72"/>
      <c r="AW170" s="165"/>
      <c r="AX170" s="72">
        <f t="shared" si="19"/>
        <v>0</v>
      </c>
    </row>
    <row r="171" spans="1:50" ht="23.25" hidden="1">
      <c r="A171" s="18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14"/>
      <c r="M171" s="25"/>
      <c r="N171" s="2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6"/>
      <c r="AN171" s="16"/>
      <c r="AO171" s="16"/>
      <c r="AP171" s="128">
        <f t="shared" si="20"/>
        <v>0</v>
      </c>
      <c r="AQ171" s="15"/>
      <c r="AR171" s="15"/>
      <c r="AS171" s="15"/>
      <c r="AT171" s="15">
        <f t="shared" si="21"/>
        <v>0</v>
      </c>
      <c r="AU171" s="72"/>
      <c r="AV171" s="72"/>
      <c r="AW171" s="165"/>
      <c r="AX171" s="72">
        <f t="shared" si="19"/>
        <v>0</v>
      </c>
    </row>
    <row r="172" spans="1:50" ht="23.25" hidden="1">
      <c r="A172" s="18"/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14"/>
      <c r="M172" s="25"/>
      <c r="N172" s="2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6"/>
      <c r="AN172" s="16"/>
      <c r="AO172" s="16"/>
      <c r="AP172" s="128">
        <f t="shared" si="20"/>
        <v>0</v>
      </c>
      <c r="AQ172" s="15"/>
      <c r="AR172" s="15"/>
      <c r="AS172" s="15"/>
      <c r="AT172" s="15">
        <f t="shared" si="21"/>
        <v>0</v>
      </c>
      <c r="AU172" s="72"/>
      <c r="AV172" s="72"/>
      <c r="AW172" s="165"/>
      <c r="AX172" s="72">
        <f t="shared" si="19"/>
        <v>0</v>
      </c>
    </row>
    <row r="173" spans="1:50" ht="23.25" hidden="1">
      <c r="A173" s="18"/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14"/>
      <c r="M173" s="25"/>
      <c r="N173" s="2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6"/>
      <c r="AN173" s="16"/>
      <c r="AO173" s="16"/>
      <c r="AP173" s="128">
        <f t="shared" si="20"/>
        <v>0</v>
      </c>
      <c r="AQ173" s="15"/>
      <c r="AR173" s="15"/>
      <c r="AS173" s="15"/>
      <c r="AT173" s="15">
        <f t="shared" si="21"/>
        <v>0</v>
      </c>
      <c r="AU173" s="72"/>
      <c r="AV173" s="72"/>
      <c r="AW173" s="165"/>
      <c r="AX173" s="72">
        <f t="shared" si="19"/>
        <v>0</v>
      </c>
    </row>
    <row r="174" spans="1:50" ht="23.25" hidden="1">
      <c r="A174" s="18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14"/>
      <c r="M174" s="25"/>
      <c r="N174" s="2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6"/>
      <c r="AN174" s="16"/>
      <c r="AO174" s="16"/>
      <c r="AP174" s="128">
        <f aca="true" t="shared" si="22" ref="AP174:AP204">N174+AN174-AM174</f>
        <v>0</v>
      </c>
      <c r="AQ174" s="15"/>
      <c r="AR174" s="15"/>
      <c r="AS174" s="15"/>
      <c r="AT174" s="15">
        <f t="shared" si="21"/>
        <v>0</v>
      </c>
      <c r="AU174" s="72"/>
      <c r="AV174" s="72"/>
      <c r="AW174" s="165"/>
      <c r="AX174" s="72">
        <f t="shared" si="19"/>
        <v>0</v>
      </c>
    </row>
    <row r="175" spans="1:50" ht="23.25" hidden="1">
      <c r="A175" s="18"/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14"/>
      <c r="M175" s="25"/>
      <c r="N175" s="2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6"/>
      <c r="AN175" s="16"/>
      <c r="AO175" s="16"/>
      <c r="AP175" s="128">
        <f t="shared" si="22"/>
        <v>0</v>
      </c>
      <c r="AQ175" s="15"/>
      <c r="AR175" s="15"/>
      <c r="AS175" s="15"/>
      <c r="AT175" s="15">
        <f t="shared" si="21"/>
        <v>0</v>
      </c>
      <c r="AU175" s="72"/>
      <c r="AV175" s="72"/>
      <c r="AW175" s="165"/>
      <c r="AX175" s="72">
        <f t="shared" si="19"/>
        <v>0</v>
      </c>
    </row>
    <row r="176" spans="1:50" ht="24.75" customHeight="1" hidden="1">
      <c r="A176" s="18" t="s">
        <v>115</v>
      </c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14"/>
      <c r="M176" s="25"/>
      <c r="N176" s="25"/>
      <c r="O176" s="15"/>
      <c r="P176" s="15"/>
      <c r="Q176" s="15"/>
      <c r="R176" s="25"/>
      <c r="S176" s="15"/>
      <c r="T176" s="15"/>
      <c r="U176" s="15">
        <v>350</v>
      </c>
      <c r="V176" s="15">
        <v>350</v>
      </c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6"/>
      <c r="AN176" s="16"/>
      <c r="AO176" s="16"/>
      <c r="AP176" s="128">
        <f t="shared" si="22"/>
        <v>0</v>
      </c>
      <c r="AQ176" s="15"/>
      <c r="AR176" s="15"/>
      <c r="AS176" s="15"/>
      <c r="AT176" s="15">
        <f t="shared" si="21"/>
        <v>0</v>
      </c>
      <c r="AU176" s="72"/>
      <c r="AV176" s="72"/>
      <c r="AW176" s="165"/>
      <c r="AX176" s="72">
        <f t="shared" si="19"/>
        <v>0</v>
      </c>
    </row>
    <row r="177" spans="1:50" ht="26.25" customHeight="1">
      <c r="A177" s="18" t="s">
        <v>116</v>
      </c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14"/>
      <c r="M177" s="25"/>
      <c r="N177" s="25">
        <v>0</v>
      </c>
      <c r="O177" s="15"/>
      <c r="P177" s="15"/>
      <c r="Q177" s="15">
        <v>2897.2</v>
      </c>
      <c r="R177" s="25">
        <v>2897.2</v>
      </c>
      <c r="S177" s="15"/>
      <c r="T177" s="15"/>
      <c r="U177" s="15"/>
      <c r="V177" s="15"/>
      <c r="W177" s="15"/>
      <c r="X177" s="15"/>
      <c r="Y177" s="15">
        <v>3100000</v>
      </c>
      <c r="Z177" s="15"/>
      <c r="AA177" s="15">
        <v>895500</v>
      </c>
      <c r="AB177" s="15"/>
      <c r="AC177" s="15">
        <v>571000</v>
      </c>
      <c r="AD177" s="15"/>
      <c r="AE177" s="15"/>
      <c r="AF177" s="15"/>
      <c r="AG177" s="15"/>
      <c r="AH177" s="15"/>
      <c r="AI177" s="15"/>
      <c r="AJ177" s="15"/>
      <c r="AK177" s="15">
        <f>398000+11000</f>
        <v>409000</v>
      </c>
      <c r="AL177" s="15"/>
      <c r="AM177" s="16"/>
      <c r="AN177" s="16"/>
      <c r="AO177" s="16"/>
      <c r="AP177" s="128">
        <f t="shared" si="22"/>
        <v>0</v>
      </c>
      <c r="AQ177" s="15"/>
      <c r="AR177" s="15"/>
      <c r="AS177" s="15"/>
      <c r="AT177" s="15">
        <f t="shared" si="21"/>
        <v>0</v>
      </c>
      <c r="AU177" s="72"/>
      <c r="AV177" s="72"/>
      <c r="AW177" s="165"/>
      <c r="AX177" s="72">
        <f t="shared" si="19"/>
        <v>0</v>
      </c>
    </row>
    <row r="178" spans="1:50" ht="23.25" hidden="1">
      <c r="A178" s="18"/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14"/>
      <c r="M178" s="25"/>
      <c r="N178" s="25"/>
      <c r="O178" s="15"/>
      <c r="P178" s="15"/>
      <c r="Q178" s="15"/>
      <c r="R178" s="2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6"/>
      <c r="AN178" s="16"/>
      <c r="AO178" s="16"/>
      <c r="AP178" s="128">
        <f t="shared" si="22"/>
        <v>0</v>
      </c>
      <c r="AQ178" s="15"/>
      <c r="AR178" s="15"/>
      <c r="AS178" s="15"/>
      <c r="AT178" s="15">
        <f t="shared" si="21"/>
        <v>0</v>
      </c>
      <c r="AU178" s="72"/>
      <c r="AV178" s="72"/>
      <c r="AW178" s="165"/>
      <c r="AX178" s="72">
        <f t="shared" si="19"/>
        <v>0</v>
      </c>
    </row>
    <row r="179" spans="1:50" ht="23.25">
      <c r="A179" s="18" t="s">
        <v>117</v>
      </c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14"/>
      <c r="M179" s="25"/>
      <c r="N179" s="25">
        <v>0</v>
      </c>
      <c r="O179" s="15"/>
      <c r="P179" s="15"/>
      <c r="Q179" s="15"/>
      <c r="R179" s="2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6"/>
      <c r="AN179" s="16"/>
      <c r="AO179" s="16"/>
      <c r="AP179" s="128">
        <f t="shared" si="22"/>
        <v>0</v>
      </c>
      <c r="AQ179" s="15"/>
      <c r="AR179" s="15"/>
      <c r="AS179" s="15"/>
      <c r="AT179" s="15">
        <f t="shared" si="21"/>
        <v>0</v>
      </c>
      <c r="AU179" s="72"/>
      <c r="AV179" s="72"/>
      <c r="AW179" s="165"/>
      <c r="AX179" s="72">
        <f t="shared" si="19"/>
        <v>0</v>
      </c>
    </row>
    <row r="180" spans="1:50" ht="23.25" hidden="1">
      <c r="A180" s="18"/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14"/>
      <c r="M180" s="25"/>
      <c r="N180" s="25"/>
      <c r="O180" s="15"/>
      <c r="P180" s="15"/>
      <c r="Q180" s="15"/>
      <c r="R180" s="2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6"/>
      <c r="AN180" s="16"/>
      <c r="AO180" s="16"/>
      <c r="AP180" s="128">
        <f t="shared" si="22"/>
        <v>0</v>
      </c>
      <c r="AQ180" s="15"/>
      <c r="AR180" s="15"/>
      <c r="AS180" s="15"/>
      <c r="AT180" s="15">
        <f t="shared" si="21"/>
        <v>0</v>
      </c>
      <c r="AU180" s="72"/>
      <c r="AV180" s="72"/>
      <c r="AW180" s="165"/>
      <c r="AX180" s="72">
        <f t="shared" si="19"/>
        <v>0</v>
      </c>
    </row>
    <row r="181" spans="1:50" ht="23.25" hidden="1">
      <c r="A181" s="18" t="s">
        <v>118</v>
      </c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14"/>
      <c r="M181" s="15"/>
      <c r="N181" s="15"/>
      <c r="O181" s="15"/>
      <c r="P181" s="15"/>
      <c r="Q181" s="15"/>
      <c r="R181" s="2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6"/>
      <c r="AN181" s="16"/>
      <c r="AO181" s="16"/>
      <c r="AP181" s="128">
        <f t="shared" si="22"/>
        <v>0</v>
      </c>
      <c r="AQ181" s="15"/>
      <c r="AR181" s="15"/>
      <c r="AS181" s="15"/>
      <c r="AT181" s="15">
        <f t="shared" si="21"/>
        <v>0</v>
      </c>
      <c r="AU181" s="72"/>
      <c r="AV181" s="72"/>
      <c r="AW181" s="165"/>
      <c r="AX181" s="72">
        <f t="shared" si="19"/>
        <v>0</v>
      </c>
    </row>
    <row r="182" spans="1:50" ht="23.25" hidden="1">
      <c r="A182" s="18" t="s">
        <v>119</v>
      </c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14"/>
      <c r="M182" s="15"/>
      <c r="N182" s="15"/>
      <c r="O182" s="15"/>
      <c r="P182" s="15"/>
      <c r="Q182" s="15"/>
      <c r="R182" s="2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6"/>
      <c r="AN182" s="16"/>
      <c r="AO182" s="16"/>
      <c r="AP182" s="128">
        <f t="shared" si="22"/>
        <v>0</v>
      </c>
      <c r="AQ182" s="15"/>
      <c r="AR182" s="15"/>
      <c r="AS182" s="15"/>
      <c r="AT182" s="15">
        <f t="shared" si="21"/>
        <v>0</v>
      </c>
      <c r="AU182" s="72"/>
      <c r="AV182" s="72"/>
      <c r="AW182" s="165"/>
      <c r="AX182" s="72">
        <f t="shared" si="19"/>
        <v>0</v>
      </c>
    </row>
    <row r="183" spans="1:50" ht="23.25" hidden="1">
      <c r="A183" s="18" t="s">
        <v>120</v>
      </c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14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6"/>
      <c r="AN183" s="16"/>
      <c r="AO183" s="16"/>
      <c r="AP183" s="128">
        <f t="shared" si="22"/>
        <v>0</v>
      </c>
      <c r="AQ183" s="15"/>
      <c r="AR183" s="15"/>
      <c r="AS183" s="15"/>
      <c r="AT183" s="15">
        <f t="shared" si="21"/>
        <v>0</v>
      </c>
      <c r="AU183" s="72"/>
      <c r="AV183" s="72"/>
      <c r="AW183" s="165"/>
      <c r="AX183" s="72">
        <f t="shared" si="19"/>
        <v>0</v>
      </c>
    </row>
    <row r="184" spans="1:50" ht="23.25" hidden="1">
      <c r="A184" s="18" t="s">
        <v>121</v>
      </c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14"/>
      <c r="M184" s="15"/>
      <c r="N184" s="15"/>
      <c r="O184" s="15"/>
      <c r="P184" s="15"/>
      <c r="Q184" s="15"/>
      <c r="R184" s="2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6"/>
      <c r="AN184" s="16"/>
      <c r="AO184" s="16"/>
      <c r="AP184" s="128">
        <f t="shared" si="22"/>
        <v>0</v>
      </c>
      <c r="AQ184" s="15"/>
      <c r="AR184" s="15"/>
      <c r="AS184" s="15"/>
      <c r="AT184" s="15">
        <f t="shared" si="21"/>
        <v>0</v>
      </c>
      <c r="AU184" s="72"/>
      <c r="AV184" s="72"/>
      <c r="AW184" s="165"/>
      <c r="AX184" s="72">
        <f t="shared" si="19"/>
        <v>0</v>
      </c>
    </row>
    <row r="185" spans="1:50" ht="23.25" hidden="1">
      <c r="A185" s="18" t="s">
        <v>122</v>
      </c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14"/>
      <c r="M185" s="15"/>
      <c r="N185" s="15"/>
      <c r="O185" s="15"/>
      <c r="P185" s="15"/>
      <c r="Q185" s="15"/>
      <c r="R185" s="2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6"/>
      <c r="AN185" s="16"/>
      <c r="AO185" s="16"/>
      <c r="AP185" s="128">
        <f t="shared" si="22"/>
        <v>0</v>
      </c>
      <c r="AQ185" s="15"/>
      <c r="AR185" s="15"/>
      <c r="AS185" s="15"/>
      <c r="AT185" s="15">
        <f t="shared" si="21"/>
        <v>0</v>
      </c>
      <c r="AU185" s="72"/>
      <c r="AV185" s="72"/>
      <c r="AW185" s="165"/>
      <c r="AX185" s="72">
        <f t="shared" si="19"/>
        <v>0</v>
      </c>
    </row>
    <row r="186" spans="1:50" ht="23.25" hidden="1">
      <c r="A186" s="18" t="s">
        <v>123</v>
      </c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14"/>
      <c r="M186" s="15"/>
      <c r="N186" s="15"/>
      <c r="O186" s="15"/>
      <c r="P186" s="15"/>
      <c r="Q186" s="15"/>
      <c r="R186" s="2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6"/>
      <c r="AN186" s="16"/>
      <c r="AO186" s="16"/>
      <c r="AP186" s="128">
        <f t="shared" si="22"/>
        <v>0</v>
      </c>
      <c r="AQ186" s="15"/>
      <c r="AR186" s="15"/>
      <c r="AS186" s="15"/>
      <c r="AT186" s="15">
        <f t="shared" si="21"/>
        <v>0</v>
      </c>
      <c r="AU186" s="72"/>
      <c r="AV186" s="72"/>
      <c r="AW186" s="165"/>
      <c r="AX186" s="72">
        <f t="shared" si="19"/>
        <v>0</v>
      </c>
    </row>
    <row r="187" spans="1:50" ht="28.5" customHeight="1">
      <c r="A187" s="18" t="s">
        <v>124</v>
      </c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14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6"/>
      <c r="AN187" s="16"/>
      <c r="AO187" s="16"/>
      <c r="AP187" s="128">
        <f t="shared" si="22"/>
        <v>0</v>
      </c>
      <c r="AQ187" s="15"/>
      <c r="AR187" s="15"/>
      <c r="AS187" s="15"/>
      <c r="AT187" s="15">
        <f t="shared" si="21"/>
        <v>0</v>
      </c>
      <c r="AU187" s="72"/>
      <c r="AV187" s="72"/>
      <c r="AW187" s="165"/>
      <c r="AX187" s="72">
        <f t="shared" si="19"/>
        <v>0</v>
      </c>
    </row>
    <row r="188" spans="1:50" ht="23.25" hidden="1">
      <c r="A188" s="50"/>
      <c r="B188" s="19"/>
      <c r="C188" s="20" t="s">
        <v>43</v>
      </c>
      <c r="D188" s="20" t="s">
        <v>125</v>
      </c>
      <c r="E188" s="20"/>
      <c r="F188" s="20"/>
      <c r="G188" s="20"/>
      <c r="H188" s="20"/>
      <c r="I188" s="20"/>
      <c r="J188" s="20"/>
      <c r="K188" s="20"/>
      <c r="L188" s="14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6"/>
      <c r="AN188" s="16"/>
      <c r="AO188" s="16"/>
      <c r="AP188" s="128">
        <f t="shared" si="22"/>
        <v>0</v>
      </c>
      <c r="AQ188" s="15"/>
      <c r="AR188" s="15"/>
      <c r="AS188" s="15"/>
      <c r="AT188" s="15">
        <f t="shared" si="21"/>
        <v>0</v>
      </c>
      <c r="AU188" s="72"/>
      <c r="AV188" s="72"/>
      <c r="AW188" s="165"/>
      <c r="AX188" s="72">
        <f t="shared" si="19"/>
        <v>0</v>
      </c>
    </row>
    <row r="189" spans="1:50" ht="25.5" customHeight="1">
      <c r="A189" s="50"/>
      <c r="B189" s="19"/>
      <c r="C189" s="20" t="s">
        <v>43</v>
      </c>
      <c r="D189" s="20" t="s">
        <v>126</v>
      </c>
      <c r="E189" s="20"/>
      <c r="F189" s="20"/>
      <c r="G189" s="20"/>
      <c r="H189" s="20"/>
      <c r="I189" s="20"/>
      <c r="J189" s="20"/>
      <c r="K189" s="20"/>
      <c r="L189" s="14"/>
      <c r="M189" s="15"/>
      <c r="N189" s="15">
        <v>13612.51</v>
      </c>
      <c r="O189" s="15">
        <v>38440</v>
      </c>
      <c r="P189" s="15">
        <v>23400</v>
      </c>
      <c r="Q189" s="15"/>
      <c r="R189" s="15"/>
      <c r="S189" s="15"/>
      <c r="T189" s="15"/>
      <c r="U189" s="15"/>
      <c r="V189" s="15"/>
      <c r="W189" s="15"/>
      <c r="X189" s="15"/>
      <c r="Y189" s="15"/>
      <c r="Z189" s="15">
        <v>226100</v>
      </c>
      <c r="AA189" s="15"/>
      <c r="AB189" s="15">
        <v>11150</v>
      </c>
      <c r="AC189" s="15"/>
      <c r="AD189" s="15">
        <v>8250</v>
      </c>
      <c r="AE189" s="15"/>
      <c r="AF189" s="15">
        <v>69500</v>
      </c>
      <c r="AG189" s="15"/>
      <c r="AH189" s="15"/>
      <c r="AI189" s="15"/>
      <c r="AJ189" s="15">
        <v>96150</v>
      </c>
      <c r="AK189" s="15">
        <v>450000</v>
      </c>
      <c r="AL189" s="15">
        <v>72500</v>
      </c>
      <c r="AM189" s="16">
        <v>13612.51</v>
      </c>
      <c r="AN189" s="16">
        <v>5214.06</v>
      </c>
      <c r="AO189" s="16"/>
      <c r="AP189" s="128">
        <f t="shared" si="22"/>
        <v>5214.0599999999995</v>
      </c>
      <c r="AQ189" s="15"/>
      <c r="AR189" s="57"/>
      <c r="AS189" s="15"/>
      <c r="AT189" s="15">
        <v>1249.89</v>
      </c>
      <c r="AU189" s="72">
        <v>1037.55</v>
      </c>
      <c r="AV189" s="72">
        <v>3535.22</v>
      </c>
      <c r="AW189" s="165"/>
      <c r="AX189" s="72">
        <f t="shared" si="19"/>
        <v>3747.5599999999995</v>
      </c>
    </row>
    <row r="190" spans="1:50" ht="25.5" customHeight="1">
      <c r="A190" s="50"/>
      <c r="B190" s="19"/>
      <c r="C190" s="20" t="s">
        <v>43</v>
      </c>
      <c r="D190" s="20" t="s">
        <v>279</v>
      </c>
      <c r="E190" s="20"/>
      <c r="F190" s="20"/>
      <c r="G190" s="20"/>
      <c r="H190" s="20"/>
      <c r="I190" s="20"/>
      <c r="J190" s="20"/>
      <c r="K190" s="20"/>
      <c r="L190" s="14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6">
        <v>213.08</v>
      </c>
      <c r="AN190" s="16">
        <v>213.08</v>
      </c>
      <c r="AO190" s="16"/>
      <c r="AP190" s="128">
        <f t="shared" si="22"/>
        <v>0</v>
      </c>
      <c r="AQ190" s="15"/>
      <c r="AR190" s="57"/>
      <c r="AS190" s="15"/>
      <c r="AT190" s="15">
        <f aca="true" t="shared" si="23" ref="AT190:AT221">AP190+AR190-AQ190</f>
        <v>0</v>
      </c>
      <c r="AU190" s="72"/>
      <c r="AV190" s="72"/>
      <c r="AW190" s="165"/>
      <c r="AX190" s="72">
        <f t="shared" si="19"/>
        <v>0</v>
      </c>
    </row>
    <row r="191" spans="1:50" ht="25.5" customHeight="1">
      <c r="A191" s="50"/>
      <c r="B191" s="19"/>
      <c r="C191" s="20" t="s">
        <v>43</v>
      </c>
      <c r="D191" s="20" t="s">
        <v>127</v>
      </c>
      <c r="E191" s="20"/>
      <c r="F191" s="20"/>
      <c r="G191" s="20"/>
      <c r="H191" s="20"/>
      <c r="I191" s="20"/>
      <c r="J191" s="20"/>
      <c r="K191" s="51"/>
      <c r="L191" s="14"/>
      <c r="M191" s="15"/>
      <c r="N191" s="15">
        <v>337507</v>
      </c>
      <c r="O191" s="15"/>
      <c r="P191" s="15"/>
      <c r="Q191" s="15"/>
      <c r="R191" s="2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6">
        <v>34000</v>
      </c>
      <c r="AN191" s="16"/>
      <c r="AO191" s="16"/>
      <c r="AP191" s="128">
        <f t="shared" si="22"/>
        <v>303507</v>
      </c>
      <c r="AQ191" s="15"/>
      <c r="AR191" s="15"/>
      <c r="AS191" s="15"/>
      <c r="AT191" s="15">
        <v>325685</v>
      </c>
      <c r="AU191" s="72">
        <v>4750</v>
      </c>
      <c r="AV191" s="72"/>
      <c r="AW191" s="165"/>
      <c r="AX191" s="72">
        <f aca="true" t="shared" si="24" ref="AX191:AX219">AT191+AV191-AU191</f>
        <v>320935</v>
      </c>
    </row>
    <row r="192" spans="1:50" ht="23.25">
      <c r="A192" s="50"/>
      <c r="B192" s="19"/>
      <c r="C192" s="20" t="s">
        <v>43</v>
      </c>
      <c r="D192" s="20" t="s">
        <v>128</v>
      </c>
      <c r="E192" s="20"/>
      <c r="F192" s="20"/>
      <c r="G192" s="20"/>
      <c r="H192" s="20"/>
      <c r="I192" s="20"/>
      <c r="J192" s="20"/>
      <c r="K192" s="20"/>
      <c r="L192" s="14"/>
      <c r="M192" s="15"/>
      <c r="N192" s="15">
        <v>1302.55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6"/>
      <c r="AN192" s="16"/>
      <c r="AO192" s="16"/>
      <c r="AP192" s="128">
        <f t="shared" si="22"/>
        <v>1302.55</v>
      </c>
      <c r="AQ192" s="15"/>
      <c r="AR192" s="15"/>
      <c r="AS192" s="15"/>
      <c r="AT192" s="15">
        <v>10312.78</v>
      </c>
      <c r="AU192" s="72"/>
      <c r="AV192" s="72">
        <v>69.23</v>
      </c>
      <c r="AW192" s="165"/>
      <c r="AX192" s="72">
        <f t="shared" si="24"/>
        <v>10382.01</v>
      </c>
    </row>
    <row r="193" spans="1:50" ht="23.25">
      <c r="A193" s="50"/>
      <c r="B193" s="19"/>
      <c r="C193" s="20" t="s">
        <v>43</v>
      </c>
      <c r="D193" s="20" t="s">
        <v>129</v>
      </c>
      <c r="E193" s="20"/>
      <c r="F193" s="20"/>
      <c r="G193" s="20"/>
      <c r="H193" s="20"/>
      <c r="I193" s="20"/>
      <c r="J193" s="20"/>
      <c r="K193" s="20"/>
      <c r="L193" s="14"/>
      <c r="M193" s="15"/>
      <c r="N193" s="15">
        <v>-3027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6">
        <f>3007.5+1614.4+3958</f>
        <v>8579.9</v>
      </c>
      <c r="AN193" s="16">
        <f>26997.5+605.4</f>
        <v>27602.9</v>
      </c>
      <c r="AO193" s="16"/>
      <c r="AP193" s="128">
        <f t="shared" si="22"/>
        <v>15996.000000000002</v>
      </c>
      <c r="AQ193" s="15"/>
      <c r="AR193" s="15"/>
      <c r="AS193" s="15"/>
      <c r="AT193" s="15">
        <v>10937</v>
      </c>
      <c r="AU193" s="72">
        <v>617.7</v>
      </c>
      <c r="AV193" s="72">
        <v>1235.4</v>
      </c>
      <c r="AW193" s="165"/>
      <c r="AX193" s="72">
        <f t="shared" si="24"/>
        <v>11554.699999999999</v>
      </c>
    </row>
    <row r="194" spans="1:50" ht="23.25">
      <c r="A194" s="50"/>
      <c r="B194" s="19"/>
      <c r="C194" s="20" t="s">
        <v>43</v>
      </c>
      <c r="D194" s="20" t="s">
        <v>130</v>
      </c>
      <c r="E194" s="20"/>
      <c r="F194" s="20"/>
      <c r="G194" s="20"/>
      <c r="H194" s="20"/>
      <c r="I194" s="20"/>
      <c r="J194" s="20"/>
      <c r="K194" s="20"/>
      <c r="L194" s="14"/>
      <c r="M194" s="15"/>
      <c r="N194" s="15">
        <v>0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6"/>
      <c r="AN194" s="16"/>
      <c r="AO194" s="16"/>
      <c r="AP194" s="128">
        <f t="shared" si="22"/>
        <v>0</v>
      </c>
      <c r="AQ194" s="15"/>
      <c r="AR194" s="15"/>
      <c r="AS194" s="15"/>
      <c r="AT194" s="15">
        <f t="shared" si="23"/>
        <v>0</v>
      </c>
      <c r="AU194" s="72"/>
      <c r="AV194" s="72"/>
      <c r="AW194" s="165"/>
      <c r="AX194" s="72">
        <f t="shared" si="24"/>
        <v>0</v>
      </c>
    </row>
    <row r="195" spans="1:50" ht="23.25">
      <c r="A195" s="50"/>
      <c r="B195" s="19"/>
      <c r="C195" s="20" t="s">
        <v>43</v>
      </c>
      <c r="D195" s="20" t="s">
        <v>131</v>
      </c>
      <c r="E195" s="20"/>
      <c r="F195" s="20"/>
      <c r="G195" s="20"/>
      <c r="H195" s="20"/>
      <c r="I195" s="20"/>
      <c r="J195" s="20"/>
      <c r="K195" s="20"/>
      <c r="L195" s="14"/>
      <c r="M195" s="15"/>
      <c r="N195" s="15">
        <v>-198217</v>
      </c>
      <c r="O195" s="15"/>
      <c r="P195" s="15"/>
      <c r="Q195" s="15"/>
      <c r="R195" s="2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6"/>
      <c r="AN195" s="16">
        <v>198217</v>
      </c>
      <c r="AO195" s="16"/>
      <c r="AP195" s="128">
        <f t="shared" si="22"/>
        <v>0</v>
      </c>
      <c r="AQ195" s="15"/>
      <c r="AR195" s="15"/>
      <c r="AS195" s="15"/>
      <c r="AT195" s="15">
        <v>4522</v>
      </c>
      <c r="AU195" s="72"/>
      <c r="AV195" s="72">
        <v>49776</v>
      </c>
      <c r="AW195" s="165"/>
      <c r="AX195" s="72">
        <f t="shared" si="24"/>
        <v>54298</v>
      </c>
    </row>
    <row r="196" spans="1:50" ht="28.5" customHeight="1" hidden="1">
      <c r="A196" s="50"/>
      <c r="B196" s="19"/>
      <c r="C196" s="20" t="s">
        <v>43</v>
      </c>
      <c r="D196" s="20" t="s">
        <v>132</v>
      </c>
      <c r="E196" s="20"/>
      <c r="F196" s="20"/>
      <c r="G196" s="20"/>
      <c r="H196" s="20"/>
      <c r="I196" s="20"/>
      <c r="J196" s="20"/>
      <c r="K196" s="20"/>
      <c r="L196" s="14"/>
      <c r="M196" s="15"/>
      <c r="N196" s="15">
        <v>0</v>
      </c>
      <c r="O196" s="15"/>
      <c r="P196" s="15"/>
      <c r="Q196" s="15"/>
      <c r="R196" s="25"/>
      <c r="S196" s="15"/>
      <c r="T196" s="15">
        <f>60+20</f>
        <v>80</v>
      </c>
      <c r="U196" s="15"/>
      <c r="V196" s="15">
        <f>3500+1200</f>
        <v>4700</v>
      </c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>
        <v>4780</v>
      </c>
      <c r="AL196" s="15"/>
      <c r="AM196" s="16"/>
      <c r="AN196" s="16"/>
      <c r="AO196" s="16"/>
      <c r="AP196" s="128">
        <f t="shared" si="22"/>
        <v>0</v>
      </c>
      <c r="AQ196" s="15"/>
      <c r="AR196" s="15"/>
      <c r="AS196" s="15"/>
      <c r="AT196" s="15">
        <f t="shared" si="23"/>
        <v>0</v>
      </c>
      <c r="AU196" s="72"/>
      <c r="AV196" s="72"/>
      <c r="AW196" s="165"/>
      <c r="AX196" s="72">
        <f t="shared" si="24"/>
        <v>0</v>
      </c>
    </row>
    <row r="197" spans="1:50" ht="28.5" customHeight="1" hidden="1">
      <c r="A197" s="50"/>
      <c r="B197" s="19"/>
      <c r="C197" s="20" t="s">
        <v>43</v>
      </c>
      <c r="D197" s="20" t="s">
        <v>133</v>
      </c>
      <c r="E197" s="20"/>
      <c r="F197" s="20"/>
      <c r="G197" s="20"/>
      <c r="H197" s="20"/>
      <c r="I197" s="20"/>
      <c r="J197" s="20"/>
      <c r="K197" s="20"/>
      <c r="L197" s="14"/>
      <c r="M197" s="15"/>
      <c r="N197" s="15"/>
      <c r="O197" s="15"/>
      <c r="P197" s="15"/>
      <c r="Q197" s="15"/>
      <c r="R197" s="2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6"/>
      <c r="AN197" s="16"/>
      <c r="AO197" s="16"/>
      <c r="AP197" s="128">
        <f t="shared" si="22"/>
        <v>0</v>
      </c>
      <c r="AQ197" s="15"/>
      <c r="AR197" s="15"/>
      <c r="AS197" s="15"/>
      <c r="AT197" s="15">
        <f t="shared" si="23"/>
        <v>0</v>
      </c>
      <c r="AU197" s="72"/>
      <c r="AV197" s="72"/>
      <c r="AW197" s="165"/>
      <c r="AX197" s="72">
        <f t="shared" si="24"/>
        <v>0</v>
      </c>
    </row>
    <row r="198" spans="1:50" ht="23.25" hidden="1">
      <c r="A198" s="50"/>
      <c r="B198" s="19"/>
      <c r="C198" s="20" t="s">
        <v>43</v>
      </c>
      <c r="D198" s="20" t="s">
        <v>134</v>
      </c>
      <c r="E198" s="20"/>
      <c r="F198" s="20"/>
      <c r="G198" s="20"/>
      <c r="H198" s="20"/>
      <c r="I198" s="20"/>
      <c r="J198" s="20"/>
      <c r="K198" s="20"/>
      <c r="L198" s="14"/>
      <c r="M198" s="15"/>
      <c r="N198" s="15"/>
      <c r="O198" s="15"/>
      <c r="P198" s="15"/>
      <c r="Q198" s="15"/>
      <c r="R198" s="2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6"/>
      <c r="AN198" s="16"/>
      <c r="AO198" s="16"/>
      <c r="AP198" s="128">
        <f t="shared" si="22"/>
        <v>0</v>
      </c>
      <c r="AQ198" s="15"/>
      <c r="AR198" s="15"/>
      <c r="AS198" s="15"/>
      <c r="AT198" s="15">
        <f t="shared" si="23"/>
        <v>0</v>
      </c>
      <c r="AU198" s="72"/>
      <c r="AV198" s="72"/>
      <c r="AW198" s="165"/>
      <c r="AX198" s="72">
        <f t="shared" si="24"/>
        <v>0</v>
      </c>
    </row>
    <row r="199" spans="1:50" ht="23.25">
      <c r="A199" s="50"/>
      <c r="B199" s="19"/>
      <c r="C199" s="20" t="s">
        <v>43</v>
      </c>
      <c r="D199" s="20" t="s">
        <v>275</v>
      </c>
      <c r="E199" s="20"/>
      <c r="F199" s="20"/>
      <c r="G199" s="20"/>
      <c r="H199" s="20"/>
      <c r="I199" s="20"/>
      <c r="J199" s="20"/>
      <c r="K199" s="20"/>
      <c r="L199" s="14"/>
      <c r="M199" s="15"/>
      <c r="N199" s="72">
        <v>1020000</v>
      </c>
      <c r="O199" s="15"/>
      <c r="P199" s="15"/>
      <c r="Q199" s="15"/>
      <c r="R199" s="25"/>
      <c r="S199" s="15"/>
      <c r="T199" s="15"/>
      <c r="U199" s="15"/>
      <c r="V199" s="15"/>
      <c r="W199" s="15">
        <v>57337.5</v>
      </c>
      <c r="X199" s="15">
        <v>57337.5</v>
      </c>
      <c r="Y199" s="15">
        <v>600</v>
      </c>
      <c r="Z199" s="15">
        <v>600</v>
      </c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6">
        <v>1020000</v>
      </c>
      <c r="AN199" s="16"/>
      <c r="AO199" s="16"/>
      <c r="AP199" s="128">
        <f t="shared" si="22"/>
        <v>0</v>
      </c>
      <c r="AQ199" s="15"/>
      <c r="AR199" s="15"/>
      <c r="AS199" s="15"/>
      <c r="AT199" s="15">
        <f t="shared" si="23"/>
        <v>0</v>
      </c>
      <c r="AU199" s="72"/>
      <c r="AV199" s="72"/>
      <c r="AW199" s="165"/>
      <c r="AX199" s="72">
        <f t="shared" si="24"/>
        <v>0</v>
      </c>
    </row>
    <row r="200" spans="1:50" ht="27" customHeight="1" hidden="1">
      <c r="A200" s="18" t="s">
        <v>115</v>
      </c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14"/>
      <c r="M200" s="15"/>
      <c r="N200" s="15">
        <v>0</v>
      </c>
      <c r="O200" s="15"/>
      <c r="P200" s="15"/>
      <c r="Q200" s="15"/>
      <c r="R200" s="2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6"/>
      <c r="AN200" s="16"/>
      <c r="AO200" s="16"/>
      <c r="AP200" s="128">
        <f t="shared" si="22"/>
        <v>0</v>
      </c>
      <c r="AQ200" s="15"/>
      <c r="AR200" s="15"/>
      <c r="AS200" s="15"/>
      <c r="AT200" s="15">
        <f t="shared" si="23"/>
        <v>0</v>
      </c>
      <c r="AU200" s="72"/>
      <c r="AV200" s="72"/>
      <c r="AW200" s="165"/>
      <c r="AX200" s="72">
        <f t="shared" si="24"/>
        <v>0</v>
      </c>
    </row>
    <row r="201" spans="1:50" ht="23.25" hidden="1">
      <c r="A201" s="18" t="s">
        <v>135</v>
      </c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14"/>
      <c r="M201" s="15"/>
      <c r="N201" s="15"/>
      <c r="O201" s="15"/>
      <c r="P201" s="15"/>
      <c r="Q201" s="15"/>
      <c r="R201" s="2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6"/>
      <c r="AN201" s="16"/>
      <c r="AO201" s="16"/>
      <c r="AP201" s="128">
        <f t="shared" si="22"/>
        <v>0</v>
      </c>
      <c r="AQ201" s="15"/>
      <c r="AR201" s="15"/>
      <c r="AS201" s="15"/>
      <c r="AT201" s="15">
        <f t="shared" si="23"/>
        <v>0</v>
      </c>
      <c r="AU201" s="72"/>
      <c r="AV201" s="72"/>
      <c r="AW201" s="165"/>
      <c r="AX201" s="72">
        <f t="shared" si="24"/>
        <v>0</v>
      </c>
    </row>
    <row r="202" spans="1:50" ht="23.25" hidden="1">
      <c r="A202" s="18" t="s">
        <v>136</v>
      </c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14"/>
      <c r="M202" s="15"/>
      <c r="N202" s="15"/>
      <c r="O202" s="15"/>
      <c r="P202" s="15"/>
      <c r="Q202" s="15"/>
      <c r="R202" s="2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6"/>
      <c r="AN202" s="16"/>
      <c r="AO202" s="16"/>
      <c r="AP202" s="128">
        <f t="shared" si="22"/>
        <v>0</v>
      </c>
      <c r="AQ202" s="15"/>
      <c r="AR202" s="15"/>
      <c r="AS202" s="15"/>
      <c r="AT202" s="15">
        <f t="shared" si="23"/>
        <v>0</v>
      </c>
      <c r="AU202" s="72"/>
      <c r="AV202" s="72"/>
      <c r="AW202" s="165"/>
      <c r="AX202" s="72">
        <f t="shared" si="24"/>
        <v>0</v>
      </c>
    </row>
    <row r="203" spans="1:50" ht="23.25" hidden="1">
      <c r="A203" s="18" t="s">
        <v>137</v>
      </c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14"/>
      <c r="M203" s="15"/>
      <c r="N203" s="15"/>
      <c r="O203" s="15"/>
      <c r="P203" s="15"/>
      <c r="Q203" s="15"/>
      <c r="R203" s="2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6"/>
      <c r="AN203" s="16"/>
      <c r="AO203" s="16"/>
      <c r="AP203" s="128">
        <f t="shared" si="22"/>
        <v>0</v>
      </c>
      <c r="AQ203" s="15"/>
      <c r="AR203" s="15"/>
      <c r="AS203" s="15"/>
      <c r="AT203" s="15">
        <f t="shared" si="23"/>
        <v>0</v>
      </c>
      <c r="AU203" s="72"/>
      <c r="AV203" s="72"/>
      <c r="AW203" s="165"/>
      <c r="AX203" s="72">
        <f t="shared" si="24"/>
        <v>0</v>
      </c>
    </row>
    <row r="204" spans="1:50" ht="23.25" hidden="1">
      <c r="A204" s="18" t="s">
        <v>138</v>
      </c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14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6"/>
      <c r="AN204" s="16"/>
      <c r="AO204" s="16"/>
      <c r="AP204" s="128">
        <f t="shared" si="22"/>
        <v>0</v>
      </c>
      <c r="AQ204" s="15"/>
      <c r="AR204" s="15"/>
      <c r="AS204" s="15"/>
      <c r="AT204" s="15">
        <f t="shared" si="23"/>
        <v>0</v>
      </c>
      <c r="AU204" s="72"/>
      <c r="AV204" s="72"/>
      <c r="AW204" s="165"/>
      <c r="AX204" s="72">
        <f t="shared" si="24"/>
        <v>0</v>
      </c>
    </row>
    <row r="205" spans="1:50" ht="23.25" hidden="1">
      <c r="A205" s="18" t="s">
        <v>139</v>
      </c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14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>
        <v>4000</v>
      </c>
      <c r="X205" s="15">
        <v>4000</v>
      </c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6"/>
      <c r="AN205" s="16"/>
      <c r="AO205" s="16"/>
      <c r="AP205" s="128">
        <f aca="true" t="shared" si="25" ref="AP205:AP216">N205+AN205-AM205</f>
        <v>0</v>
      </c>
      <c r="AQ205" s="15"/>
      <c r="AR205" s="15"/>
      <c r="AS205" s="15"/>
      <c r="AT205" s="15">
        <f t="shared" si="23"/>
        <v>0</v>
      </c>
      <c r="AU205" s="72"/>
      <c r="AV205" s="72"/>
      <c r="AW205" s="165"/>
      <c r="AX205" s="72">
        <f t="shared" si="24"/>
        <v>0</v>
      </c>
    </row>
    <row r="206" spans="1:50" ht="23.25" hidden="1">
      <c r="A206" s="18" t="s">
        <v>140</v>
      </c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14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6"/>
      <c r="AN206" s="16"/>
      <c r="AO206" s="16"/>
      <c r="AP206" s="128">
        <f t="shared" si="25"/>
        <v>0</v>
      </c>
      <c r="AQ206" s="15"/>
      <c r="AR206" s="15"/>
      <c r="AS206" s="15"/>
      <c r="AT206" s="15">
        <f t="shared" si="23"/>
        <v>0</v>
      </c>
      <c r="AU206" s="72"/>
      <c r="AV206" s="72"/>
      <c r="AW206" s="165"/>
      <c r="AX206" s="72">
        <f t="shared" si="24"/>
        <v>0</v>
      </c>
    </row>
    <row r="207" spans="1:50" ht="23.25" hidden="1">
      <c r="A207" s="18" t="s">
        <v>141</v>
      </c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14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6"/>
      <c r="AN207" s="16"/>
      <c r="AO207" s="16"/>
      <c r="AP207" s="128">
        <f t="shared" si="25"/>
        <v>0</v>
      </c>
      <c r="AQ207" s="15"/>
      <c r="AR207" s="15"/>
      <c r="AS207" s="15"/>
      <c r="AT207" s="15">
        <f t="shared" si="23"/>
        <v>0</v>
      </c>
      <c r="AU207" s="72"/>
      <c r="AV207" s="72"/>
      <c r="AW207" s="165"/>
      <c r="AX207" s="72">
        <f t="shared" si="24"/>
        <v>0</v>
      </c>
    </row>
    <row r="208" spans="1:50" ht="23.25" hidden="1">
      <c r="A208" s="18" t="s">
        <v>142</v>
      </c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14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6"/>
      <c r="AN208" s="16"/>
      <c r="AO208" s="16"/>
      <c r="AP208" s="128">
        <f t="shared" si="25"/>
        <v>0</v>
      </c>
      <c r="AQ208" s="15"/>
      <c r="AR208" s="15"/>
      <c r="AS208" s="15"/>
      <c r="AT208" s="15">
        <f t="shared" si="23"/>
        <v>0</v>
      </c>
      <c r="AU208" s="72"/>
      <c r="AV208" s="72"/>
      <c r="AW208" s="165"/>
      <c r="AX208" s="72">
        <f t="shared" si="24"/>
        <v>0</v>
      </c>
    </row>
    <row r="209" spans="1:50" ht="23.25" hidden="1">
      <c r="A209" s="18" t="s">
        <v>143</v>
      </c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14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6"/>
      <c r="AN209" s="16"/>
      <c r="AO209" s="16"/>
      <c r="AP209" s="128">
        <f t="shared" si="25"/>
        <v>0</v>
      </c>
      <c r="AQ209" s="15"/>
      <c r="AR209" s="15"/>
      <c r="AS209" s="15"/>
      <c r="AT209" s="15">
        <f t="shared" si="23"/>
        <v>0</v>
      </c>
      <c r="AU209" s="72"/>
      <c r="AV209" s="72"/>
      <c r="AW209" s="165"/>
      <c r="AX209" s="72">
        <f t="shared" si="24"/>
        <v>0</v>
      </c>
    </row>
    <row r="210" spans="1:50" ht="23.25">
      <c r="A210" s="18"/>
      <c r="B210" s="19"/>
      <c r="C210" s="20" t="s">
        <v>287</v>
      </c>
      <c r="D210" s="20"/>
      <c r="E210" s="20"/>
      <c r="F210" s="20"/>
      <c r="G210" s="20"/>
      <c r="H210" s="20"/>
      <c r="I210" s="20"/>
      <c r="J210" s="20"/>
      <c r="K210" s="20"/>
      <c r="L210" s="14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6"/>
      <c r="AN210" s="16"/>
      <c r="AO210" s="16"/>
      <c r="AP210" s="128"/>
      <c r="AQ210" s="15"/>
      <c r="AR210" s="15"/>
      <c r="AS210" s="15"/>
      <c r="AT210" s="15">
        <v>24825.74</v>
      </c>
      <c r="AU210" s="72">
        <v>24825.74</v>
      </c>
      <c r="AV210" s="72"/>
      <c r="AW210" s="165"/>
      <c r="AX210" s="72">
        <f t="shared" si="24"/>
        <v>0</v>
      </c>
    </row>
    <row r="211" spans="1:51" s="39" customFormat="1" ht="33.75" customHeight="1">
      <c r="A211" s="52" t="s">
        <v>144</v>
      </c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5"/>
      <c r="M211" s="72"/>
      <c r="N211" s="72">
        <v>11184006.04</v>
      </c>
      <c r="O211" s="72">
        <f>31740+1050000-6790</f>
        <v>1074950</v>
      </c>
      <c r="P211" s="72">
        <f>9000+186.72</f>
        <v>9186.72</v>
      </c>
      <c r="Q211" s="72">
        <f>488293+115250</f>
        <v>603543</v>
      </c>
      <c r="R211" s="72"/>
      <c r="S211" s="72">
        <f>12450+19200</f>
        <v>31650</v>
      </c>
      <c r="T211" s="72"/>
      <c r="U211" s="72">
        <f>26370+5800</f>
        <v>32170</v>
      </c>
      <c r="V211" s="72">
        <f>12690+409000+54000+12690</f>
        <v>488380</v>
      </c>
      <c r="W211" s="72">
        <f>12450-1103</f>
        <v>11347</v>
      </c>
      <c r="X211" s="72">
        <f>13920</f>
        <v>13920</v>
      </c>
      <c r="Y211" s="72">
        <v>18000</v>
      </c>
      <c r="Z211" s="72">
        <f>12260+12603+12450+12450+11347</f>
        <v>61110</v>
      </c>
      <c r="AA211" s="72">
        <f>3000+26700</f>
        <v>29700</v>
      </c>
      <c r="AB211" s="72"/>
      <c r="AC211" s="72">
        <v>3000</v>
      </c>
      <c r="AD211" s="72">
        <v>940</v>
      </c>
      <c r="AE211" s="72">
        <v>75000</v>
      </c>
      <c r="AF211" s="72">
        <f>12780+13920</f>
        <v>26700</v>
      </c>
      <c r="AG211" s="72">
        <v>208041</v>
      </c>
      <c r="AH211" s="72">
        <f>940+500+120+800</f>
        <v>2360</v>
      </c>
      <c r="AI211" s="72">
        <v>195701</v>
      </c>
      <c r="AJ211" s="72">
        <v>362758.28</v>
      </c>
      <c r="AK211" s="72">
        <f>802016+4277522.23-590110</f>
        <v>4489428.23</v>
      </c>
      <c r="AL211" s="72">
        <v>-590110</v>
      </c>
      <c r="AM211" s="73"/>
      <c r="AN211" s="73"/>
      <c r="AO211" s="16"/>
      <c r="AP211" s="124">
        <f t="shared" si="25"/>
        <v>11184006.04</v>
      </c>
      <c r="AQ211" s="142"/>
      <c r="AR211" s="72">
        <v>103791.11</v>
      </c>
      <c r="AS211" s="142"/>
      <c r="AT211" s="72">
        <v>11291565.15</v>
      </c>
      <c r="AU211" s="142"/>
      <c r="AV211" s="72"/>
      <c r="AW211" s="166"/>
      <c r="AX211" s="170">
        <f t="shared" si="24"/>
        <v>11291565.15</v>
      </c>
      <c r="AY211" s="186"/>
    </row>
    <row r="212" spans="1:50" ht="23.25" hidden="1">
      <c r="A212" s="18" t="s">
        <v>145</v>
      </c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14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3"/>
      <c r="AN212" s="73"/>
      <c r="AO212" s="16"/>
      <c r="AP212" s="128">
        <f t="shared" si="25"/>
        <v>0</v>
      </c>
      <c r="AQ212" s="15"/>
      <c r="AR212" s="15"/>
      <c r="AS212" s="15"/>
      <c r="AT212" s="15">
        <f t="shared" si="23"/>
        <v>0</v>
      </c>
      <c r="AU212" s="72"/>
      <c r="AV212" s="72"/>
      <c r="AW212" s="165"/>
      <c r="AX212" s="72">
        <f t="shared" si="24"/>
        <v>0</v>
      </c>
    </row>
    <row r="213" spans="1:50" ht="23.25" hidden="1">
      <c r="A213" s="18" t="s">
        <v>146</v>
      </c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14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3"/>
      <c r="AN213" s="73"/>
      <c r="AO213" s="16"/>
      <c r="AP213" s="128">
        <f t="shared" si="25"/>
        <v>0</v>
      </c>
      <c r="AQ213" s="15"/>
      <c r="AR213" s="15"/>
      <c r="AS213" s="15"/>
      <c r="AT213" s="15">
        <f t="shared" si="23"/>
        <v>0</v>
      </c>
      <c r="AU213" s="72"/>
      <c r="AV213" s="72"/>
      <c r="AW213" s="165"/>
      <c r="AX213" s="72">
        <f t="shared" si="24"/>
        <v>0</v>
      </c>
    </row>
    <row r="214" spans="1:51" s="39" customFormat="1" ht="23.25" hidden="1">
      <c r="A214" s="52"/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5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3"/>
      <c r="AN214" s="73"/>
      <c r="AO214" s="16"/>
      <c r="AP214" s="128">
        <f t="shared" si="25"/>
        <v>0</v>
      </c>
      <c r="AQ214" s="57"/>
      <c r="AR214" s="57"/>
      <c r="AS214" s="57"/>
      <c r="AT214" s="15">
        <f t="shared" si="23"/>
        <v>0</v>
      </c>
      <c r="AU214" s="142"/>
      <c r="AV214" s="142"/>
      <c r="AW214" s="166"/>
      <c r="AX214" s="72">
        <f t="shared" si="24"/>
        <v>0</v>
      </c>
      <c r="AY214" s="186"/>
    </row>
    <row r="215" spans="1:50" ht="23.25" hidden="1">
      <c r="A215" s="18"/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14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3"/>
      <c r="AN215" s="73"/>
      <c r="AO215" s="16"/>
      <c r="AP215" s="128">
        <f t="shared" si="25"/>
        <v>0</v>
      </c>
      <c r="AQ215" s="15"/>
      <c r="AR215" s="15"/>
      <c r="AS215" s="15"/>
      <c r="AT215" s="15">
        <f t="shared" si="23"/>
        <v>0</v>
      </c>
      <c r="AU215" s="72"/>
      <c r="AV215" s="72"/>
      <c r="AW215" s="165"/>
      <c r="AX215" s="72">
        <f t="shared" si="24"/>
        <v>0</v>
      </c>
    </row>
    <row r="216" spans="1:50" ht="23.25" hidden="1">
      <c r="A216" s="18"/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14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3"/>
      <c r="AN216" s="73"/>
      <c r="AO216" s="16"/>
      <c r="AP216" s="128">
        <f t="shared" si="25"/>
        <v>0</v>
      </c>
      <c r="AQ216" s="15"/>
      <c r="AR216" s="15"/>
      <c r="AS216" s="15"/>
      <c r="AT216" s="15">
        <f t="shared" si="23"/>
        <v>0</v>
      </c>
      <c r="AU216" s="72"/>
      <c r="AV216" s="72"/>
      <c r="AW216" s="165"/>
      <c r="AX216" s="72">
        <f t="shared" si="24"/>
        <v>0</v>
      </c>
    </row>
    <row r="217" spans="1:50" ht="23.25" hidden="1">
      <c r="A217" s="18"/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14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3"/>
      <c r="AN217" s="73"/>
      <c r="AO217" s="16"/>
      <c r="AP217" s="128"/>
      <c r="AQ217" s="15"/>
      <c r="AR217" s="15"/>
      <c r="AS217" s="15"/>
      <c r="AT217" s="15">
        <f t="shared" si="23"/>
        <v>0</v>
      </c>
      <c r="AU217" s="72"/>
      <c r="AV217" s="72"/>
      <c r="AW217" s="165"/>
      <c r="AX217" s="72">
        <f t="shared" si="24"/>
        <v>0</v>
      </c>
    </row>
    <row r="218" spans="1:50" ht="25.5" customHeight="1">
      <c r="A218" s="18" t="s">
        <v>147</v>
      </c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14"/>
      <c r="M218" s="72"/>
      <c r="N218" s="72">
        <v>7458375.48</v>
      </c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>
        <v>4277522.23</v>
      </c>
      <c r="AM218" s="73"/>
      <c r="AN218" s="73"/>
      <c r="AO218" s="16"/>
      <c r="AP218" s="128">
        <f aca="true" t="shared" si="26" ref="AP218:AP246">N218+AN218-AM218</f>
        <v>7458375.48</v>
      </c>
      <c r="AQ218" s="15"/>
      <c r="AR218" s="15">
        <v>34597.04</v>
      </c>
      <c r="AS218" s="15"/>
      <c r="AT218" s="72">
        <f t="shared" si="23"/>
        <v>7492972.5200000005</v>
      </c>
      <c r="AU218" s="72"/>
      <c r="AV218" s="72"/>
      <c r="AW218" s="165"/>
      <c r="AX218" s="72">
        <f t="shared" si="24"/>
        <v>7492972.5200000005</v>
      </c>
    </row>
    <row r="219" spans="1:50" ht="32.25" customHeight="1">
      <c r="A219" s="52" t="s">
        <v>148</v>
      </c>
      <c r="B219" s="53"/>
      <c r="C219" s="54"/>
      <c r="D219" s="54"/>
      <c r="E219" s="54"/>
      <c r="F219" s="54"/>
      <c r="G219" s="54"/>
      <c r="H219" s="54"/>
      <c r="I219" s="54"/>
      <c r="J219" s="54"/>
      <c r="K219" s="54"/>
      <c r="L219" s="55"/>
      <c r="M219" s="72"/>
      <c r="N219" s="72"/>
      <c r="O219" s="72">
        <v>86807.68</v>
      </c>
      <c r="P219" s="72">
        <v>86807.68</v>
      </c>
      <c r="Q219" s="72">
        <f>61242.4+0.9</f>
        <v>61243.3</v>
      </c>
      <c r="R219" s="72">
        <f>61242.4+0.9</f>
        <v>61243.3</v>
      </c>
      <c r="S219" s="72">
        <f>61403.06+1648973</f>
        <v>1710376.06</v>
      </c>
      <c r="T219" s="72">
        <v>1710376.06</v>
      </c>
      <c r="U219" s="72">
        <f>3017334.61+5562</f>
        <v>3022896.61</v>
      </c>
      <c r="V219" s="72">
        <v>3022896.61</v>
      </c>
      <c r="W219" s="72">
        <f>9451396.24+442448</f>
        <v>9893844.24</v>
      </c>
      <c r="X219" s="72">
        <v>9893844.24</v>
      </c>
      <c r="Y219" s="72">
        <f>322038.7+73560</f>
        <v>395598.7</v>
      </c>
      <c r="Z219" s="72">
        <f>322038.7+73560</f>
        <v>395598.7</v>
      </c>
      <c r="AA219" s="72">
        <f>949055.33+12242</f>
        <v>961297.33</v>
      </c>
      <c r="AB219" s="72">
        <f>949055.33+12242</f>
        <v>961297.33</v>
      </c>
      <c r="AC219" s="72">
        <v>2205886.1</v>
      </c>
      <c r="AD219" s="72">
        <v>2205886.1</v>
      </c>
      <c r="AE219" s="72">
        <v>6074105.98</v>
      </c>
      <c r="AF219" s="72">
        <v>6074105.98</v>
      </c>
      <c r="AG219" s="72">
        <f>2293975.66-940</f>
        <v>2293035.66</v>
      </c>
      <c r="AH219" s="72">
        <f>2293155.66-120</f>
        <v>2293035.66</v>
      </c>
      <c r="AI219" s="72">
        <f>544055.28-6533.29</f>
        <v>537521.99</v>
      </c>
      <c r="AJ219" s="72">
        <f>544055.28-6533.29</f>
        <v>537521.99</v>
      </c>
      <c r="AK219" s="72">
        <f>8033056.86-7321.59</f>
        <v>8025735.2700000005</v>
      </c>
      <c r="AL219" s="72">
        <f>4821285.76+3100102.8+87041.1+24627.2-7321.59</f>
        <v>8025735.27</v>
      </c>
      <c r="AM219" s="73">
        <f>26997.5+232422.48</f>
        <v>259419.98</v>
      </c>
      <c r="AN219" s="73">
        <f>26997.5+232422.48</f>
        <v>259419.98</v>
      </c>
      <c r="AO219" s="16"/>
      <c r="AP219" s="128">
        <f t="shared" si="26"/>
        <v>0</v>
      </c>
      <c r="AQ219" s="15"/>
      <c r="AR219" s="15"/>
      <c r="AS219" s="15"/>
      <c r="AT219" s="15">
        <f t="shared" si="23"/>
        <v>0</v>
      </c>
      <c r="AU219" s="72"/>
      <c r="AV219" s="72">
        <f>AR219+AT219-AS219</f>
        <v>0</v>
      </c>
      <c r="AW219" s="15"/>
      <c r="AX219" s="72">
        <f t="shared" si="24"/>
        <v>0</v>
      </c>
    </row>
    <row r="220" spans="1:50" ht="23.25" hidden="1">
      <c r="A220" s="18"/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14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3"/>
      <c r="AN220" s="73"/>
      <c r="AO220" s="16"/>
      <c r="AP220" s="128">
        <f t="shared" si="26"/>
        <v>0</v>
      </c>
      <c r="AQ220" s="15"/>
      <c r="AR220" s="15"/>
      <c r="AS220" s="15"/>
      <c r="AT220" s="15">
        <f t="shared" si="23"/>
        <v>0</v>
      </c>
      <c r="AU220" s="72"/>
      <c r="AV220" s="72"/>
      <c r="AW220" s="165"/>
      <c r="AX220" s="72"/>
    </row>
    <row r="221" spans="1:50" ht="23.25" hidden="1">
      <c r="A221" s="18"/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14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3"/>
      <c r="AN221" s="73"/>
      <c r="AO221" s="16"/>
      <c r="AP221" s="128">
        <f t="shared" si="26"/>
        <v>0</v>
      </c>
      <c r="AQ221" s="15"/>
      <c r="AR221" s="15"/>
      <c r="AS221" s="15"/>
      <c r="AT221" s="15">
        <f t="shared" si="23"/>
        <v>0</v>
      </c>
      <c r="AU221" s="72"/>
      <c r="AV221" s="72"/>
      <c r="AW221" s="165"/>
      <c r="AX221" s="72"/>
    </row>
    <row r="222" spans="1:50" ht="23.25" hidden="1">
      <c r="A222" s="18"/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14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3"/>
      <c r="AN222" s="73"/>
      <c r="AO222" s="16"/>
      <c r="AP222" s="128">
        <f t="shared" si="26"/>
        <v>0</v>
      </c>
      <c r="AQ222" s="15"/>
      <c r="AR222" s="15"/>
      <c r="AS222" s="15"/>
      <c r="AT222" s="15">
        <f aca="true" t="shared" si="27" ref="AT222:AT246">AP222+AR222-AQ222</f>
        <v>0</v>
      </c>
      <c r="AU222" s="72"/>
      <c r="AV222" s="72"/>
      <c r="AW222" s="165"/>
      <c r="AX222" s="72"/>
    </row>
    <row r="223" spans="1:50" ht="23.25" hidden="1">
      <c r="A223" s="18"/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14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3"/>
      <c r="AN223" s="73"/>
      <c r="AO223" s="16"/>
      <c r="AP223" s="128">
        <f t="shared" si="26"/>
        <v>0</v>
      </c>
      <c r="AQ223" s="15"/>
      <c r="AR223" s="15"/>
      <c r="AS223" s="15"/>
      <c r="AT223" s="15">
        <f t="shared" si="27"/>
        <v>0</v>
      </c>
      <c r="AU223" s="72"/>
      <c r="AV223" s="72"/>
      <c r="AW223" s="165"/>
      <c r="AX223" s="72"/>
    </row>
    <row r="224" spans="1:50" ht="23.25" hidden="1">
      <c r="A224" s="18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14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3"/>
      <c r="AN224" s="73"/>
      <c r="AO224" s="16"/>
      <c r="AP224" s="128">
        <f t="shared" si="26"/>
        <v>0</v>
      </c>
      <c r="AQ224" s="15"/>
      <c r="AR224" s="15"/>
      <c r="AS224" s="15"/>
      <c r="AT224" s="15">
        <f t="shared" si="27"/>
        <v>0</v>
      </c>
      <c r="AU224" s="72"/>
      <c r="AV224" s="72"/>
      <c r="AW224" s="165"/>
      <c r="AX224" s="72"/>
    </row>
    <row r="225" spans="1:50" ht="23.25" hidden="1">
      <c r="A225" s="18"/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14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3"/>
      <c r="AN225" s="73"/>
      <c r="AO225" s="16"/>
      <c r="AP225" s="128">
        <f t="shared" si="26"/>
        <v>0</v>
      </c>
      <c r="AQ225" s="15"/>
      <c r="AR225" s="15"/>
      <c r="AS225" s="15"/>
      <c r="AT225" s="15">
        <f t="shared" si="27"/>
        <v>0</v>
      </c>
      <c r="AU225" s="72"/>
      <c r="AV225" s="72"/>
      <c r="AW225" s="165"/>
      <c r="AX225" s="72"/>
    </row>
    <row r="226" spans="1:50" ht="23.25" hidden="1">
      <c r="A226" s="18"/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14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3"/>
      <c r="AN226" s="73"/>
      <c r="AO226" s="16"/>
      <c r="AP226" s="128">
        <f t="shared" si="26"/>
        <v>0</v>
      </c>
      <c r="AQ226" s="15"/>
      <c r="AR226" s="15"/>
      <c r="AS226" s="15"/>
      <c r="AT226" s="15">
        <f t="shared" si="27"/>
        <v>0</v>
      </c>
      <c r="AU226" s="72"/>
      <c r="AV226" s="72"/>
      <c r="AW226" s="165"/>
      <c r="AX226" s="72"/>
    </row>
    <row r="227" spans="1:50" ht="23.25" hidden="1">
      <c r="A227" s="18"/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14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3"/>
      <c r="AN227" s="73"/>
      <c r="AO227" s="16"/>
      <c r="AP227" s="128">
        <f t="shared" si="26"/>
        <v>0</v>
      </c>
      <c r="AQ227" s="15"/>
      <c r="AR227" s="15"/>
      <c r="AS227" s="15"/>
      <c r="AT227" s="15">
        <f t="shared" si="27"/>
        <v>0</v>
      </c>
      <c r="AU227" s="72"/>
      <c r="AV227" s="72"/>
      <c r="AW227" s="165"/>
      <c r="AX227" s="72"/>
    </row>
    <row r="228" spans="1:50" ht="23.25" hidden="1">
      <c r="A228" s="18"/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14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3"/>
      <c r="AN228" s="73"/>
      <c r="AO228" s="16"/>
      <c r="AP228" s="128">
        <f t="shared" si="26"/>
        <v>0</v>
      </c>
      <c r="AQ228" s="15"/>
      <c r="AR228" s="15"/>
      <c r="AS228" s="15"/>
      <c r="AT228" s="15">
        <f t="shared" si="27"/>
        <v>0</v>
      </c>
      <c r="AU228" s="72"/>
      <c r="AV228" s="72"/>
      <c r="AW228" s="165"/>
      <c r="AX228" s="72"/>
    </row>
    <row r="229" spans="1:50" ht="23.25" hidden="1">
      <c r="A229" s="18"/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14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3"/>
      <c r="AN229" s="73"/>
      <c r="AO229" s="16"/>
      <c r="AP229" s="128">
        <f t="shared" si="26"/>
        <v>0</v>
      </c>
      <c r="AQ229" s="15"/>
      <c r="AR229" s="15"/>
      <c r="AS229" s="15"/>
      <c r="AT229" s="15">
        <f t="shared" si="27"/>
        <v>0</v>
      </c>
      <c r="AU229" s="72"/>
      <c r="AV229" s="72"/>
      <c r="AW229" s="165"/>
      <c r="AX229" s="72"/>
    </row>
    <row r="230" spans="1:50" ht="23.25" hidden="1">
      <c r="A230" s="18"/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14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3"/>
      <c r="AN230" s="73"/>
      <c r="AO230" s="16"/>
      <c r="AP230" s="128">
        <f t="shared" si="26"/>
        <v>0</v>
      </c>
      <c r="AQ230" s="15"/>
      <c r="AR230" s="15"/>
      <c r="AS230" s="15"/>
      <c r="AT230" s="15">
        <f t="shared" si="27"/>
        <v>0</v>
      </c>
      <c r="AU230" s="72"/>
      <c r="AV230" s="72"/>
      <c r="AW230" s="165"/>
      <c r="AX230" s="72"/>
    </row>
    <row r="231" spans="1:50" ht="23.25" hidden="1">
      <c r="A231" s="18"/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14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3"/>
      <c r="AN231" s="73"/>
      <c r="AO231" s="16"/>
      <c r="AP231" s="128">
        <f t="shared" si="26"/>
        <v>0</v>
      </c>
      <c r="AQ231" s="15"/>
      <c r="AR231" s="15"/>
      <c r="AS231" s="15"/>
      <c r="AT231" s="15">
        <f t="shared" si="27"/>
        <v>0</v>
      </c>
      <c r="AU231" s="72"/>
      <c r="AV231" s="72"/>
      <c r="AW231" s="165"/>
      <c r="AX231" s="72"/>
    </row>
    <row r="232" spans="1:50" ht="23.25" hidden="1">
      <c r="A232" s="18"/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14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3"/>
      <c r="AN232" s="73"/>
      <c r="AO232" s="16"/>
      <c r="AP232" s="128">
        <f t="shared" si="26"/>
        <v>0</v>
      </c>
      <c r="AQ232" s="15"/>
      <c r="AR232" s="15"/>
      <c r="AS232" s="15"/>
      <c r="AT232" s="15">
        <f t="shared" si="27"/>
        <v>0</v>
      </c>
      <c r="AU232" s="72"/>
      <c r="AV232" s="72"/>
      <c r="AW232" s="165"/>
      <c r="AX232" s="72"/>
    </row>
    <row r="233" spans="1:50" ht="23.25" hidden="1">
      <c r="A233" s="18"/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14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3"/>
      <c r="AN233" s="73"/>
      <c r="AO233" s="16"/>
      <c r="AP233" s="128">
        <f t="shared" si="26"/>
        <v>0</v>
      </c>
      <c r="AQ233" s="15"/>
      <c r="AR233" s="15"/>
      <c r="AS233" s="15"/>
      <c r="AT233" s="15">
        <f t="shared" si="27"/>
        <v>0</v>
      </c>
      <c r="AU233" s="72"/>
      <c r="AV233" s="72"/>
      <c r="AW233" s="165"/>
      <c r="AX233" s="72"/>
    </row>
    <row r="234" spans="1:50" ht="23.25" hidden="1">
      <c r="A234" s="18"/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14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3"/>
      <c r="AN234" s="73"/>
      <c r="AO234" s="16"/>
      <c r="AP234" s="128">
        <f t="shared" si="26"/>
        <v>0</v>
      </c>
      <c r="AQ234" s="15"/>
      <c r="AR234" s="15"/>
      <c r="AS234" s="15"/>
      <c r="AT234" s="15">
        <f t="shared" si="27"/>
        <v>0</v>
      </c>
      <c r="AU234" s="72"/>
      <c r="AV234" s="72"/>
      <c r="AW234" s="165"/>
      <c r="AX234" s="72"/>
    </row>
    <row r="235" spans="1:50" ht="23.25" hidden="1">
      <c r="A235" s="18"/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14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3"/>
      <c r="AN235" s="73"/>
      <c r="AO235" s="16"/>
      <c r="AP235" s="128">
        <f t="shared" si="26"/>
        <v>0</v>
      </c>
      <c r="AQ235" s="15"/>
      <c r="AR235" s="15"/>
      <c r="AS235" s="15"/>
      <c r="AT235" s="15">
        <f t="shared" si="27"/>
        <v>0</v>
      </c>
      <c r="AU235" s="72"/>
      <c r="AV235" s="72"/>
      <c r="AW235" s="165"/>
      <c r="AX235" s="72"/>
    </row>
    <row r="236" spans="1:50" ht="23.25" hidden="1">
      <c r="A236" s="18"/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14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3"/>
      <c r="AN236" s="73"/>
      <c r="AO236" s="16"/>
      <c r="AP236" s="128">
        <f t="shared" si="26"/>
        <v>0</v>
      </c>
      <c r="AQ236" s="15"/>
      <c r="AR236" s="15"/>
      <c r="AS236" s="15"/>
      <c r="AT236" s="15">
        <f t="shared" si="27"/>
        <v>0</v>
      </c>
      <c r="AU236" s="72"/>
      <c r="AV236" s="72"/>
      <c r="AW236" s="165"/>
      <c r="AX236" s="72"/>
    </row>
    <row r="237" spans="1:50" ht="23.25" hidden="1">
      <c r="A237" s="18"/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14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3"/>
      <c r="AN237" s="73"/>
      <c r="AO237" s="16"/>
      <c r="AP237" s="128">
        <f t="shared" si="26"/>
        <v>0</v>
      </c>
      <c r="AQ237" s="15"/>
      <c r="AR237" s="15"/>
      <c r="AS237" s="15"/>
      <c r="AT237" s="15">
        <f t="shared" si="27"/>
        <v>0</v>
      </c>
      <c r="AU237" s="72"/>
      <c r="AV237" s="72"/>
      <c r="AW237" s="165"/>
      <c r="AX237" s="72"/>
    </row>
    <row r="238" spans="1:50" ht="23.25" hidden="1">
      <c r="A238" s="18"/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14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3"/>
      <c r="AN238" s="73"/>
      <c r="AO238" s="16"/>
      <c r="AP238" s="128">
        <f t="shared" si="26"/>
        <v>0</v>
      </c>
      <c r="AQ238" s="15"/>
      <c r="AR238" s="15"/>
      <c r="AS238" s="15"/>
      <c r="AT238" s="15">
        <f t="shared" si="27"/>
        <v>0</v>
      </c>
      <c r="AU238" s="72"/>
      <c r="AV238" s="72"/>
      <c r="AW238" s="165"/>
      <c r="AX238" s="72"/>
    </row>
    <row r="239" spans="1:50" ht="23.25" hidden="1">
      <c r="A239" s="18"/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14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3"/>
      <c r="AN239" s="73"/>
      <c r="AO239" s="16"/>
      <c r="AP239" s="128">
        <f t="shared" si="26"/>
        <v>0</v>
      </c>
      <c r="AQ239" s="15"/>
      <c r="AR239" s="15"/>
      <c r="AS239" s="15"/>
      <c r="AT239" s="15">
        <f t="shared" si="27"/>
        <v>0</v>
      </c>
      <c r="AU239" s="72"/>
      <c r="AV239" s="72"/>
      <c r="AW239" s="165"/>
      <c r="AX239" s="72"/>
    </row>
    <row r="240" spans="1:50" ht="23.25" hidden="1">
      <c r="A240" s="18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14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3"/>
      <c r="AN240" s="73"/>
      <c r="AO240" s="16"/>
      <c r="AP240" s="128">
        <f t="shared" si="26"/>
        <v>0</v>
      </c>
      <c r="AQ240" s="15"/>
      <c r="AR240" s="15"/>
      <c r="AS240" s="15"/>
      <c r="AT240" s="15">
        <f t="shared" si="27"/>
        <v>0</v>
      </c>
      <c r="AU240" s="72"/>
      <c r="AV240" s="72"/>
      <c r="AW240" s="165"/>
      <c r="AX240" s="72"/>
    </row>
    <row r="241" spans="1:50" ht="23.25" hidden="1">
      <c r="A241" s="18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14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3"/>
      <c r="AN241" s="73"/>
      <c r="AO241" s="16"/>
      <c r="AP241" s="128">
        <f t="shared" si="26"/>
        <v>0</v>
      </c>
      <c r="AQ241" s="15"/>
      <c r="AR241" s="15"/>
      <c r="AS241" s="15"/>
      <c r="AT241" s="15">
        <f t="shared" si="27"/>
        <v>0</v>
      </c>
      <c r="AU241" s="72"/>
      <c r="AV241" s="72"/>
      <c r="AW241" s="165"/>
      <c r="AX241" s="72"/>
    </row>
    <row r="242" spans="1:50" ht="23.25" hidden="1">
      <c r="A242" s="18"/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14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3"/>
      <c r="AN242" s="73"/>
      <c r="AO242" s="16"/>
      <c r="AP242" s="128">
        <f t="shared" si="26"/>
        <v>0</v>
      </c>
      <c r="AQ242" s="15"/>
      <c r="AR242" s="15"/>
      <c r="AS242" s="15"/>
      <c r="AT242" s="15">
        <f t="shared" si="27"/>
        <v>0</v>
      </c>
      <c r="AU242" s="72"/>
      <c r="AV242" s="72"/>
      <c r="AW242" s="165"/>
      <c r="AX242" s="72"/>
    </row>
    <row r="243" spans="1:50" ht="23.25" hidden="1">
      <c r="A243" s="18"/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14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3"/>
      <c r="AN243" s="73"/>
      <c r="AO243" s="16"/>
      <c r="AP243" s="128">
        <f t="shared" si="26"/>
        <v>0</v>
      </c>
      <c r="AQ243" s="15"/>
      <c r="AR243" s="15"/>
      <c r="AS243" s="15"/>
      <c r="AT243" s="15">
        <f t="shared" si="27"/>
        <v>0</v>
      </c>
      <c r="AU243" s="72"/>
      <c r="AV243" s="72"/>
      <c r="AW243" s="165"/>
      <c r="AX243" s="72"/>
    </row>
    <row r="244" spans="1:50" ht="23.25" hidden="1">
      <c r="A244" s="18"/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14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3"/>
      <c r="AN244" s="73"/>
      <c r="AO244" s="16"/>
      <c r="AP244" s="128">
        <f t="shared" si="26"/>
        <v>0</v>
      </c>
      <c r="AQ244" s="15"/>
      <c r="AR244" s="15"/>
      <c r="AS244" s="15"/>
      <c r="AT244" s="15">
        <f t="shared" si="27"/>
        <v>0</v>
      </c>
      <c r="AU244" s="72"/>
      <c r="AV244" s="72"/>
      <c r="AW244" s="165"/>
      <c r="AX244" s="72"/>
    </row>
    <row r="245" spans="1:50" ht="23.25" hidden="1">
      <c r="A245" s="18"/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14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3"/>
      <c r="AN245" s="73"/>
      <c r="AO245" s="16"/>
      <c r="AP245" s="128">
        <f t="shared" si="26"/>
        <v>0</v>
      </c>
      <c r="AQ245" s="15"/>
      <c r="AR245" s="15"/>
      <c r="AS245" s="15"/>
      <c r="AT245" s="15">
        <f t="shared" si="27"/>
        <v>0</v>
      </c>
      <c r="AU245" s="72"/>
      <c r="AV245" s="72"/>
      <c r="AW245" s="165"/>
      <c r="AX245" s="72"/>
    </row>
    <row r="246" spans="1:50" ht="23.25" hidden="1">
      <c r="A246" s="18"/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14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3"/>
      <c r="AN246" s="73"/>
      <c r="AO246" s="16"/>
      <c r="AP246" s="128">
        <f t="shared" si="26"/>
        <v>0</v>
      </c>
      <c r="AQ246" s="15"/>
      <c r="AR246" s="15"/>
      <c r="AS246" s="15"/>
      <c r="AT246" s="15">
        <f t="shared" si="27"/>
        <v>0</v>
      </c>
      <c r="AU246" s="72"/>
      <c r="AV246" s="72"/>
      <c r="AW246" s="165"/>
      <c r="AX246" s="72"/>
    </row>
    <row r="247" spans="1:51" s="39" customFormat="1" ht="39" customHeight="1">
      <c r="A247" s="202" t="s">
        <v>149</v>
      </c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38"/>
      <c r="M247" s="74">
        <f aca="true" t="shared" si="28" ref="M247:AT247">SUM(M124:M246)</f>
        <v>0</v>
      </c>
      <c r="N247" s="74">
        <f t="shared" si="28"/>
        <v>19813559.58</v>
      </c>
      <c r="O247" s="74">
        <f t="shared" si="28"/>
        <v>1638837.68</v>
      </c>
      <c r="P247" s="74">
        <f t="shared" si="28"/>
        <v>119394.4</v>
      </c>
      <c r="Q247" s="74">
        <f t="shared" si="28"/>
        <v>2175733.5</v>
      </c>
      <c r="R247" s="74">
        <f t="shared" si="28"/>
        <v>64140.5</v>
      </c>
      <c r="S247" s="74">
        <f t="shared" si="28"/>
        <v>2003883.26</v>
      </c>
      <c r="T247" s="74">
        <f t="shared" si="28"/>
        <v>1710456.06</v>
      </c>
      <c r="U247" s="74">
        <f t="shared" si="28"/>
        <v>3476016.61</v>
      </c>
      <c r="V247" s="74">
        <f t="shared" si="28"/>
        <v>3516326.61</v>
      </c>
      <c r="W247" s="74">
        <f t="shared" si="28"/>
        <v>10053391.84</v>
      </c>
      <c r="X247" s="74">
        <f t="shared" si="28"/>
        <v>9969101.74</v>
      </c>
      <c r="Y247" s="74">
        <f t="shared" si="28"/>
        <v>3514198.7</v>
      </c>
      <c r="Z247" s="74">
        <f t="shared" si="28"/>
        <v>18683408.7</v>
      </c>
      <c r="AA247" s="74">
        <f t="shared" si="28"/>
        <v>1886497.33</v>
      </c>
      <c r="AB247" s="74">
        <f t="shared" si="28"/>
        <v>972447.33</v>
      </c>
      <c r="AC247" s="74">
        <f t="shared" si="28"/>
        <v>3219886.1</v>
      </c>
      <c r="AD247" s="74">
        <f t="shared" si="28"/>
        <v>2215076.1</v>
      </c>
      <c r="AE247" s="74">
        <f t="shared" si="28"/>
        <v>7539105.98</v>
      </c>
      <c r="AF247" s="74">
        <f t="shared" si="28"/>
        <v>6170305.98</v>
      </c>
      <c r="AG247" s="74">
        <f t="shared" si="28"/>
        <v>2501076.66</v>
      </c>
      <c r="AH247" s="74">
        <f t="shared" si="28"/>
        <v>2295395.66</v>
      </c>
      <c r="AI247" s="74">
        <f t="shared" si="28"/>
        <v>1095981.27</v>
      </c>
      <c r="AJ247" s="74">
        <f t="shared" si="28"/>
        <v>996430.27</v>
      </c>
      <c r="AK247" s="74">
        <f t="shared" si="28"/>
        <v>13378943.5</v>
      </c>
      <c r="AL247" s="74">
        <f t="shared" si="28"/>
        <v>17518566</v>
      </c>
      <c r="AM247" s="74">
        <f t="shared" si="28"/>
        <v>1335825.47</v>
      </c>
      <c r="AN247" s="74">
        <f t="shared" si="28"/>
        <v>2179573.42</v>
      </c>
      <c r="AO247" s="74">
        <f t="shared" si="28"/>
        <v>0</v>
      </c>
      <c r="AP247" s="129">
        <f t="shared" si="28"/>
        <v>20657307.53</v>
      </c>
      <c r="AQ247" s="74">
        <f t="shared" si="28"/>
        <v>0</v>
      </c>
      <c r="AR247" s="74">
        <f t="shared" si="28"/>
        <v>138388.15</v>
      </c>
      <c r="AS247" s="74">
        <f t="shared" si="28"/>
        <v>0</v>
      </c>
      <c r="AT247" s="74">
        <f t="shared" si="28"/>
        <v>19201022.48</v>
      </c>
      <c r="AU247" s="74">
        <f>SUM(AU126:AU246)</f>
        <v>31230.99</v>
      </c>
      <c r="AV247" s="74">
        <f>SUM(AV126:AV246)</f>
        <v>54615.85</v>
      </c>
      <c r="AW247" s="74">
        <f>SUM(AW126:AW246)</f>
        <v>0</v>
      </c>
      <c r="AX247" s="171">
        <f>SUM(AX126:AX246)</f>
        <v>19224407.34</v>
      </c>
      <c r="AY247" s="186"/>
    </row>
    <row r="248" spans="1:51" s="39" customFormat="1" ht="41.25" customHeight="1" thickBot="1">
      <c r="A248" s="204" t="s">
        <v>93</v>
      </c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40"/>
      <c r="M248" s="76">
        <f aca="true" t="shared" si="29" ref="M248:AX248">M247+M123</f>
        <v>21780051.57</v>
      </c>
      <c r="N248" s="76">
        <f t="shared" si="29"/>
        <v>19813559.58</v>
      </c>
      <c r="O248" s="76">
        <f t="shared" si="29"/>
        <v>4671292.95</v>
      </c>
      <c r="P248" s="76">
        <f t="shared" si="29"/>
        <v>5313669.0200000005</v>
      </c>
      <c r="Q248" s="76">
        <f t="shared" si="29"/>
        <v>3138200.02</v>
      </c>
      <c r="R248" s="76">
        <f t="shared" si="29"/>
        <v>4388083.44</v>
      </c>
      <c r="S248" s="76">
        <f t="shared" si="29"/>
        <v>11139717.03</v>
      </c>
      <c r="T248" s="76">
        <f t="shared" si="29"/>
        <v>11138479.76</v>
      </c>
      <c r="U248" s="76">
        <f t="shared" si="29"/>
        <v>6540209.29</v>
      </c>
      <c r="V248" s="76">
        <f t="shared" si="29"/>
        <v>6094960.85</v>
      </c>
      <c r="W248" s="76">
        <f t="shared" si="29"/>
        <v>28583950.82</v>
      </c>
      <c r="X248" s="76">
        <f t="shared" si="29"/>
        <v>20121652.759999998</v>
      </c>
      <c r="Y248" s="76">
        <f t="shared" si="29"/>
        <v>40144216.61</v>
      </c>
      <c r="Z248" s="76">
        <f t="shared" si="29"/>
        <v>41650533.65</v>
      </c>
      <c r="AA248" s="76">
        <f t="shared" si="29"/>
        <v>3666563.02</v>
      </c>
      <c r="AB248" s="76">
        <f t="shared" si="29"/>
        <v>4048190.93</v>
      </c>
      <c r="AC248" s="76">
        <f t="shared" si="29"/>
        <v>12778277.92</v>
      </c>
      <c r="AD248" s="76">
        <f t="shared" si="29"/>
        <v>15381334.9</v>
      </c>
      <c r="AE248" s="76">
        <f t="shared" si="29"/>
        <v>16923081.37</v>
      </c>
      <c r="AF248" s="76">
        <f t="shared" si="29"/>
        <v>12043614.43</v>
      </c>
      <c r="AG248" s="76">
        <f t="shared" si="29"/>
        <v>5917713.33</v>
      </c>
      <c r="AH248" s="76">
        <f t="shared" si="29"/>
        <v>5979089.140000001</v>
      </c>
      <c r="AI248" s="76">
        <f t="shared" si="29"/>
        <v>9333879.08</v>
      </c>
      <c r="AJ248" s="76">
        <f t="shared" si="29"/>
        <v>11043828.370000001</v>
      </c>
      <c r="AK248" s="76">
        <f t="shared" si="29"/>
        <v>62847166.92</v>
      </c>
      <c r="AL248" s="76">
        <f t="shared" si="29"/>
        <v>66907744.01</v>
      </c>
      <c r="AM248" s="76">
        <f t="shared" si="29"/>
        <v>7300966.83</v>
      </c>
      <c r="AN248" s="76">
        <f t="shared" si="29"/>
        <v>9129070.67</v>
      </c>
      <c r="AO248" s="77">
        <f t="shared" si="29"/>
        <v>20795695.680000003</v>
      </c>
      <c r="AP248" s="130">
        <f t="shared" si="29"/>
        <v>20657307.53</v>
      </c>
      <c r="AQ248" s="76">
        <f t="shared" si="29"/>
        <v>0</v>
      </c>
      <c r="AR248" s="76">
        <f t="shared" si="29"/>
        <v>138388.15</v>
      </c>
      <c r="AS248" s="76">
        <f t="shared" si="29"/>
        <v>23257790.19</v>
      </c>
      <c r="AT248" s="76">
        <f t="shared" si="29"/>
        <v>19201022.48</v>
      </c>
      <c r="AU248" s="76">
        <f t="shared" si="29"/>
        <v>1766343.6400000001</v>
      </c>
      <c r="AV248" s="76">
        <f t="shared" si="29"/>
        <v>3045315.5700000003</v>
      </c>
      <c r="AW248" s="76">
        <f t="shared" si="29"/>
        <v>22002203.12</v>
      </c>
      <c r="AX248" s="172">
        <f t="shared" si="29"/>
        <v>19224407.34</v>
      </c>
      <c r="AY248" s="186"/>
    </row>
    <row r="249" spans="1:51" s="39" customFormat="1" ht="32.25" customHeight="1" thickTop="1">
      <c r="A249" s="206" t="s">
        <v>2</v>
      </c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41"/>
      <c r="M249" s="78">
        <f aca="true" t="shared" si="30" ref="M249:AL249">M248</f>
        <v>21780051.57</v>
      </c>
      <c r="N249" s="78">
        <f t="shared" si="30"/>
        <v>19813559.58</v>
      </c>
      <c r="O249" s="78">
        <f t="shared" si="30"/>
        <v>4671292.95</v>
      </c>
      <c r="P249" s="78">
        <f t="shared" si="30"/>
        <v>5313669.0200000005</v>
      </c>
      <c r="Q249" s="78">
        <f t="shared" si="30"/>
        <v>3138200.02</v>
      </c>
      <c r="R249" s="78">
        <f t="shared" si="30"/>
        <v>4388083.44</v>
      </c>
      <c r="S249" s="78">
        <f t="shared" si="30"/>
        <v>11139717.03</v>
      </c>
      <c r="T249" s="78">
        <f t="shared" si="30"/>
        <v>11138479.76</v>
      </c>
      <c r="U249" s="78">
        <f t="shared" si="30"/>
        <v>6540209.29</v>
      </c>
      <c r="V249" s="78">
        <f t="shared" si="30"/>
        <v>6094960.85</v>
      </c>
      <c r="W249" s="78">
        <f t="shared" si="30"/>
        <v>28583950.82</v>
      </c>
      <c r="X249" s="78">
        <f t="shared" si="30"/>
        <v>20121652.759999998</v>
      </c>
      <c r="Y249" s="78">
        <f t="shared" si="30"/>
        <v>40144216.61</v>
      </c>
      <c r="Z249" s="78">
        <f t="shared" si="30"/>
        <v>41650533.65</v>
      </c>
      <c r="AA249" s="78">
        <f t="shared" si="30"/>
        <v>3666563.02</v>
      </c>
      <c r="AB249" s="78">
        <f t="shared" si="30"/>
        <v>4048190.93</v>
      </c>
      <c r="AC249" s="78">
        <f t="shared" si="30"/>
        <v>12778277.92</v>
      </c>
      <c r="AD249" s="78">
        <f t="shared" si="30"/>
        <v>15381334.9</v>
      </c>
      <c r="AE249" s="78">
        <f t="shared" si="30"/>
        <v>16923081.37</v>
      </c>
      <c r="AF249" s="78">
        <f t="shared" si="30"/>
        <v>12043614.43</v>
      </c>
      <c r="AG249" s="78">
        <f t="shared" si="30"/>
        <v>5917713.33</v>
      </c>
      <c r="AH249" s="78">
        <f t="shared" si="30"/>
        <v>5979089.140000001</v>
      </c>
      <c r="AI249" s="78">
        <f t="shared" si="30"/>
        <v>9333879.08</v>
      </c>
      <c r="AJ249" s="78">
        <f t="shared" si="30"/>
        <v>11043828.370000001</v>
      </c>
      <c r="AK249" s="78">
        <f t="shared" si="30"/>
        <v>62847166.92</v>
      </c>
      <c r="AL249" s="78">
        <f t="shared" si="30"/>
        <v>66907744.01</v>
      </c>
      <c r="AM249" s="79"/>
      <c r="AN249" s="79"/>
      <c r="AO249" s="79">
        <f aca="true" t="shared" si="31" ref="AO249:AT249">AO248</f>
        <v>20795695.680000003</v>
      </c>
      <c r="AP249" s="131">
        <f t="shared" si="31"/>
        <v>20657307.53</v>
      </c>
      <c r="AQ249" s="145">
        <f t="shared" si="31"/>
        <v>0</v>
      </c>
      <c r="AR249" s="145">
        <f t="shared" si="31"/>
        <v>138388.15</v>
      </c>
      <c r="AS249" s="145">
        <f t="shared" si="31"/>
        <v>23257790.19</v>
      </c>
      <c r="AT249" s="145">
        <f t="shared" si="31"/>
        <v>19201022.48</v>
      </c>
      <c r="AU249" s="145">
        <f>AU248</f>
        <v>1766343.6400000001</v>
      </c>
      <c r="AV249" s="145">
        <f>AV248</f>
        <v>3045315.5700000003</v>
      </c>
      <c r="AW249" s="145">
        <f>AW248</f>
        <v>22002203.12</v>
      </c>
      <c r="AX249" s="173">
        <f>AX248</f>
        <v>19224407.34</v>
      </c>
      <c r="AY249" s="186"/>
    </row>
    <row r="250" spans="1:50" ht="29.25">
      <c r="A250" s="200" t="s">
        <v>148</v>
      </c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96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8"/>
      <c r="AN250" s="98"/>
      <c r="AO250" s="161">
        <f>M250+AM250-AN250</f>
        <v>0</v>
      </c>
      <c r="AP250" s="162"/>
      <c r="AQ250" s="163"/>
      <c r="AR250" s="163"/>
      <c r="AS250" s="163"/>
      <c r="AT250" s="163"/>
      <c r="AU250" s="72"/>
      <c r="AV250" s="72"/>
      <c r="AW250" s="165"/>
      <c r="AX250" s="72"/>
    </row>
    <row r="251" spans="1:50" ht="26.25">
      <c r="A251" s="154" t="s">
        <v>14</v>
      </c>
      <c r="B251" s="155"/>
      <c r="C251" s="156"/>
      <c r="D251" s="156"/>
      <c r="E251" s="156"/>
      <c r="F251" s="156"/>
      <c r="G251" s="156"/>
      <c r="H251" s="156"/>
      <c r="I251" s="156"/>
      <c r="J251" s="156"/>
      <c r="K251" s="156"/>
      <c r="L251" s="157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9"/>
      <c r="AN251" s="159"/>
      <c r="AO251" s="159"/>
      <c r="AP251" s="160"/>
      <c r="AQ251" s="85"/>
      <c r="AR251" s="85"/>
      <c r="AS251" s="85"/>
      <c r="AT251" s="85"/>
      <c r="AU251" s="72"/>
      <c r="AV251" s="72"/>
      <c r="AW251" s="165"/>
      <c r="AX251" s="72"/>
    </row>
    <row r="252" spans="1:50" ht="26.25">
      <c r="A252" s="93" t="s">
        <v>15</v>
      </c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6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8"/>
      <c r="AN252" s="98"/>
      <c r="AO252" s="98"/>
      <c r="AP252" s="136">
        <f aca="true" t="shared" si="32" ref="AP252:AP283">N252+AN252-AM252</f>
        <v>0</v>
      </c>
      <c r="AQ252" s="15"/>
      <c r="AR252" s="15"/>
      <c r="AS252" s="15"/>
      <c r="AT252" s="15"/>
      <c r="AU252" s="72"/>
      <c r="AV252" s="72"/>
      <c r="AW252" s="165"/>
      <c r="AX252" s="72"/>
    </row>
    <row r="253" spans="1:50" ht="23.25">
      <c r="A253" s="107"/>
      <c r="B253" s="108">
        <v>-1</v>
      </c>
      <c r="C253" s="109"/>
      <c r="D253" s="110" t="s">
        <v>82</v>
      </c>
      <c r="E253" s="110"/>
      <c r="F253" s="110"/>
      <c r="G253" s="110"/>
      <c r="H253" s="110"/>
      <c r="I253" s="110"/>
      <c r="J253" s="110"/>
      <c r="K253" s="110"/>
      <c r="L253" s="111"/>
      <c r="M253" s="112"/>
      <c r="N253" s="112">
        <v>135389.86</v>
      </c>
      <c r="O253" s="112"/>
      <c r="P253" s="112"/>
      <c r="Q253" s="112"/>
      <c r="R253" s="112"/>
      <c r="S253" s="112"/>
      <c r="T253" s="112"/>
      <c r="U253" s="112"/>
      <c r="V253" s="112">
        <v>30792.5</v>
      </c>
      <c r="W253" s="112"/>
      <c r="X253" s="112">
        <v>654667.25</v>
      </c>
      <c r="Y253" s="112"/>
      <c r="Z253" s="112">
        <v>125423</v>
      </c>
      <c r="AA253" s="112"/>
      <c r="AB253" s="112">
        <v>56782.5</v>
      </c>
      <c r="AC253" s="112"/>
      <c r="AD253" s="112">
        <v>32800</v>
      </c>
      <c r="AE253" s="112"/>
      <c r="AF253" s="112">
        <v>38969</v>
      </c>
      <c r="AG253" s="112"/>
      <c r="AH253" s="112">
        <v>43347</v>
      </c>
      <c r="AI253" s="112"/>
      <c r="AJ253" s="112">
        <v>10410</v>
      </c>
      <c r="AK253" s="112"/>
      <c r="AL253" s="112">
        <v>1838</v>
      </c>
      <c r="AM253" s="113"/>
      <c r="AN253" s="113">
        <v>1108</v>
      </c>
      <c r="AO253" s="113"/>
      <c r="AP253" s="132">
        <f t="shared" si="32"/>
        <v>136497.86</v>
      </c>
      <c r="AQ253" s="15">
        <v>136497.86</v>
      </c>
      <c r="AR253" s="15"/>
      <c r="AS253" s="15">
        <f aca="true" t="shared" si="33" ref="AS253:AS284">AP253-AQ253</f>
        <v>0</v>
      </c>
      <c r="AT253" s="15"/>
      <c r="AU253" s="72"/>
      <c r="AV253" s="72">
        <v>8265</v>
      </c>
      <c r="AW253" s="165"/>
      <c r="AX253" s="72">
        <f>AT253+AV253-AU253</f>
        <v>8265</v>
      </c>
    </row>
    <row r="254" spans="1:51" s="88" customFormat="1" ht="23.25">
      <c r="A254" s="18"/>
      <c r="B254" s="19">
        <v>-2</v>
      </c>
      <c r="C254" s="56"/>
      <c r="D254" s="20" t="s">
        <v>84</v>
      </c>
      <c r="E254" s="20"/>
      <c r="F254" s="20"/>
      <c r="G254" s="20"/>
      <c r="H254" s="20"/>
      <c r="I254" s="20"/>
      <c r="J254" s="20"/>
      <c r="K254" s="20"/>
      <c r="L254" s="14"/>
      <c r="M254" s="15"/>
      <c r="N254" s="15">
        <v>9612.45</v>
      </c>
      <c r="O254" s="15"/>
      <c r="P254" s="15">
        <v>744.68</v>
      </c>
      <c r="Q254" s="15"/>
      <c r="R254" s="15">
        <v>11.4</v>
      </c>
      <c r="S254" s="15"/>
      <c r="T254" s="15">
        <v>2280.81</v>
      </c>
      <c r="U254" s="15"/>
      <c r="V254" s="15">
        <v>3188.43</v>
      </c>
      <c r="W254" s="15"/>
      <c r="X254" s="15">
        <v>14819.03</v>
      </c>
      <c r="Y254" s="15"/>
      <c r="Z254" s="15">
        <v>34811.11</v>
      </c>
      <c r="AA254" s="15"/>
      <c r="AB254" s="15">
        <v>34558.51</v>
      </c>
      <c r="AC254" s="15"/>
      <c r="AD254" s="15">
        <v>14656.92</v>
      </c>
      <c r="AE254" s="15"/>
      <c r="AF254" s="15">
        <v>5642.67</v>
      </c>
      <c r="AG254" s="15"/>
      <c r="AH254" s="15">
        <v>2013.5</v>
      </c>
      <c r="AI254" s="15"/>
      <c r="AJ254" s="15">
        <v>10283.18</v>
      </c>
      <c r="AK254" s="15"/>
      <c r="AL254" s="15">
        <v>10284.92</v>
      </c>
      <c r="AM254" s="16"/>
      <c r="AN254" s="16">
        <v>841.88</v>
      </c>
      <c r="AO254" s="16"/>
      <c r="AP254" s="128">
        <f t="shared" si="32"/>
        <v>10454.33</v>
      </c>
      <c r="AQ254" s="15">
        <v>10454.33</v>
      </c>
      <c r="AR254" s="15"/>
      <c r="AS254" s="15">
        <f t="shared" si="33"/>
        <v>0</v>
      </c>
      <c r="AT254" s="15">
        <v>194.48</v>
      </c>
      <c r="AU254" s="72"/>
      <c r="AV254" s="72">
        <v>1307.39</v>
      </c>
      <c r="AW254" s="165"/>
      <c r="AX254" s="72">
        <f aca="true" t="shared" si="34" ref="AX254:AX317">AT254+AV254-AU254</f>
        <v>1501.8700000000001</v>
      </c>
      <c r="AY254" s="188"/>
    </row>
    <row r="255" spans="1:50" ht="23.25">
      <c r="A255" s="64"/>
      <c r="B255" s="65">
        <v>-3</v>
      </c>
      <c r="C255" s="144"/>
      <c r="D255" s="66" t="s">
        <v>83</v>
      </c>
      <c r="E255" s="66"/>
      <c r="F255" s="66"/>
      <c r="G255" s="66"/>
      <c r="H255" s="66"/>
      <c r="I255" s="66"/>
      <c r="J255" s="66"/>
      <c r="K255" s="66"/>
      <c r="L255" s="69"/>
      <c r="M255" s="70"/>
      <c r="N255" s="70">
        <v>5674.4</v>
      </c>
      <c r="O255" s="70"/>
      <c r="P255" s="70"/>
      <c r="Q255" s="70"/>
      <c r="R255" s="70"/>
      <c r="S255" s="70"/>
      <c r="T255" s="70">
        <v>660</v>
      </c>
      <c r="U255" s="70"/>
      <c r="V255" s="70">
        <v>3207</v>
      </c>
      <c r="W255" s="70"/>
      <c r="X255" s="70">
        <v>13536</v>
      </c>
      <c r="Y255" s="70"/>
      <c r="Z255" s="70">
        <v>43419</v>
      </c>
      <c r="AA255" s="70"/>
      <c r="AB255" s="70">
        <v>1480</v>
      </c>
      <c r="AC255" s="70"/>
      <c r="AD255" s="70"/>
      <c r="AE255" s="70"/>
      <c r="AF255" s="70">
        <v>11262</v>
      </c>
      <c r="AG255" s="70"/>
      <c r="AH255" s="70">
        <v>8029.9</v>
      </c>
      <c r="AI255" s="70"/>
      <c r="AJ255" s="70">
        <v>7842</v>
      </c>
      <c r="AK255" s="70"/>
      <c r="AL255" s="70">
        <v>860</v>
      </c>
      <c r="AM255" s="90"/>
      <c r="AN255" s="90">
        <v>20</v>
      </c>
      <c r="AO255" s="90"/>
      <c r="AP255" s="133">
        <f t="shared" si="32"/>
        <v>5694.4</v>
      </c>
      <c r="AQ255" s="70">
        <v>5694.4</v>
      </c>
      <c r="AR255" s="70"/>
      <c r="AS255" s="70">
        <f t="shared" si="33"/>
        <v>0</v>
      </c>
      <c r="AT255" s="70"/>
      <c r="AU255" s="177"/>
      <c r="AV255" s="177">
        <v>200</v>
      </c>
      <c r="AW255" s="178"/>
      <c r="AX255" s="177">
        <f t="shared" si="34"/>
        <v>200</v>
      </c>
    </row>
    <row r="256" spans="1:50" ht="23.25">
      <c r="A256" s="183"/>
      <c r="B256" s="94">
        <v>-4</v>
      </c>
      <c r="C256" s="184"/>
      <c r="D256" s="95" t="s">
        <v>150</v>
      </c>
      <c r="E256" s="95"/>
      <c r="F256" s="95"/>
      <c r="G256" s="95"/>
      <c r="H256" s="95"/>
      <c r="I256" s="95"/>
      <c r="J256" s="95"/>
      <c r="K256" s="95"/>
      <c r="L256" s="96"/>
      <c r="M256" s="97"/>
      <c r="N256" s="97">
        <v>5310</v>
      </c>
      <c r="O256" s="97"/>
      <c r="P256" s="97">
        <v>360</v>
      </c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8"/>
      <c r="AN256" s="98">
        <v>430</v>
      </c>
      <c r="AO256" s="98"/>
      <c r="AP256" s="136">
        <f t="shared" si="32"/>
        <v>5740</v>
      </c>
      <c r="AQ256" s="97">
        <v>5740</v>
      </c>
      <c r="AR256" s="97"/>
      <c r="AS256" s="97">
        <f t="shared" si="33"/>
        <v>0</v>
      </c>
      <c r="AT256" s="97">
        <v>1660</v>
      </c>
      <c r="AU256" s="117"/>
      <c r="AV256" s="117">
        <v>460</v>
      </c>
      <c r="AW256" s="164"/>
      <c r="AX256" s="117">
        <f t="shared" si="34"/>
        <v>2120</v>
      </c>
    </row>
    <row r="257" spans="1:50" ht="23.25" hidden="1">
      <c r="A257" s="91"/>
      <c r="B257" s="87">
        <v>-5</v>
      </c>
      <c r="C257" s="92"/>
      <c r="D257" s="88" t="s">
        <v>151</v>
      </c>
      <c r="E257" s="88"/>
      <c r="F257" s="88"/>
      <c r="G257" s="88"/>
      <c r="H257" s="88"/>
      <c r="I257" s="88"/>
      <c r="J257" s="88"/>
      <c r="K257" s="88"/>
      <c r="L257" s="89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6"/>
      <c r="AN257" s="86"/>
      <c r="AO257" s="86"/>
      <c r="AP257" s="137">
        <f t="shared" si="32"/>
        <v>0</v>
      </c>
      <c r="AQ257" s="85"/>
      <c r="AR257" s="85">
        <f aca="true" t="shared" si="35" ref="AR257:AR263">SUM(AP257:AQ257)</f>
        <v>0</v>
      </c>
      <c r="AS257" s="85">
        <f t="shared" si="33"/>
        <v>0</v>
      </c>
      <c r="AT257" s="85"/>
      <c r="AU257" s="72"/>
      <c r="AV257" s="72"/>
      <c r="AW257" s="165"/>
      <c r="AX257" s="72">
        <f t="shared" si="34"/>
        <v>0</v>
      </c>
    </row>
    <row r="258" spans="1:50" ht="23.25" hidden="1">
      <c r="A258" s="18"/>
      <c r="B258" s="19">
        <v>-6</v>
      </c>
      <c r="C258" s="56"/>
      <c r="D258" s="20" t="s">
        <v>152</v>
      </c>
      <c r="E258" s="20"/>
      <c r="F258" s="20"/>
      <c r="G258" s="20"/>
      <c r="H258" s="20"/>
      <c r="I258" s="20"/>
      <c r="J258" s="20"/>
      <c r="K258" s="20"/>
      <c r="L258" s="14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6"/>
      <c r="AN258" s="16"/>
      <c r="AO258" s="16"/>
      <c r="AP258" s="128">
        <f t="shared" si="32"/>
        <v>0</v>
      </c>
      <c r="AQ258" s="15"/>
      <c r="AR258" s="15">
        <f t="shared" si="35"/>
        <v>0</v>
      </c>
      <c r="AS258" s="15">
        <f t="shared" si="33"/>
        <v>0</v>
      </c>
      <c r="AT258" s="15"/>
      <c r="AU258" s="72"/>
      <c r="AV258" s="72"/>
      <c r="AW258" s="165"/>
      <c r="AX258" s="72">
        <f t="shared" si="34"/>
        <v>0</v>
      </c>
    </row>
    <row r="259" spans="1:50" ht="23.25" hidden="1">
      <c r="A259" s="18"/>
      <c r="B259" s="19">
        <v>-7</v>
      </c>
      <c r="C259" s="56"/>
      <c r="D259" s="20"/>
      <c r="E259" s="20"/>
      <c r="F259" s="20"/>
      <c r="G259" s="20"/>
      <c r="H259" s="20"/>
      <c r="I259" s="20"/>
      <c r="J259" s="20"/>
      <c r="K259" s="20"/>
      <c r="L259" s="14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6"/>
      <c r="AN259" s="16"/>
      <c r="AO259" s="16"/>
      <c r="AP259" s="128">
        <f t="shared" si="32"/>
        <v>0</v>
      </c>
      <c r="AQ259" s="15"/>
      <c r="AR259" s="15">
        <f t="shared" si="35"/>
        <v>0</v>
      </c>
      <c r="AS259" s="15">
        <f t="shared" si="33"/>
        <v>0</v>
      </c>
      <c r="AT259" s="15"/>
      <c r="AU259" s="72"/>
      <c r="AV259" s="72"/>
      <c r="AW259" s="165"/>
      <c r="AX259" s="72">
        <f t="shared" si="34"/>
        <v>0</v>
      </c>
    </row>
    <row r="260" spans="1:50" ht="23.25" hidden="1">
      <c r="A260" s="18"/>
      <c r="B260" s="19">
        <v>-8</v>
      </c>
      <c r="C260" s="56"/>
      <c r="D260" s="20"/>
      <c r="E260" s="20"/>
      <c r="F260" s="20"/>
      <c r="G260" s="20"/>
      <c r="H260" s="20"/>
      <c r="I260" s="20"/>
      <c r="J260" s="20"/>
      <c r="K260" s="20"/>
      <c r="L260" s="14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6"/>
      <c r="AN260" s="16"/>
      <c r="AO260" s="16"/>
      <c r="AP260" s="128">
        <f t="shared" si="32"/>
        <v>0</v>
      </c>
      <c r="AQ260" s="15"/>
      <c r="AR260" s="15">
        <f t="shared" si="35"/>
        <v>0</v>
      </c>
      <c r="AS260" s="15">
        <f t="shared" si="33"/>
        <v>0</v>
      </c>
      <c r="AT260" s="15"/>
      <c r="AU260" s="72"/>
      <c r="AV260" s="72"/>
      <c r="AW260" s="165"/>
      <c r="AX260" s="72">
        <f t="shared" si="34"/>
        <v>0</v>
      </c>
    </row>
    <row r="261" spans="1:50" ht="23.25" hidden="1">
      <c r="A261" s="18"/>
      <c r="B261" s="19">
        <v>-9</v>
      </c>
      <c r="C261" s="56"/>
      <c r="D261" s="20"/>
      <c r="E261" s="20"/>
      <c r="F261" s="20"/>
      <c r="G261" s="20"/>
      <c r="H261" s="20"/>
      <c r="I261" s="20"/>
      <c r="J261" s="20"/>
      <c r="K261" s="20"/>
      <c r="L261" s="14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16"/>
      <c r="AN261" s="16"/>
      <c r="AO261" s="58"/>
      <c r="AP261" s="128">
        <f t="shared" si="32"/>
        <v>0</v>
      </c>
      <c r="AQ261" s="15"/>
      <c r="AR261" s="15">
        <f t="shared" si="35"/>
        <v>0</v>
      </c>
      <c r="AS261" s="15">
        <f t="shared" si="33"/>
        <v>0</v>
      </c>
      <c r="AT261" s="15"/>
      <c r="AU261" s="72"/>
      <c r="AV261" s="72"/>
      <c r="AW261" s="165"/>
      <c r="AX261" s="72">
        <f t="shared" si="34"/>
        <v>0</v>
      </c>
    </row>
    <row r="262" spans="1:50" ht="23.25" hidden="1">
      <c r="A262" s="146"/>
      <c r="B262" s="118"/>
      <c r="C262" s="29"/>
      <c r="D262" s="29"/>
      <c r="E262" s="29"/>
      <c r="F262" s="29"/>
      <c r="G262" s="29"/>
      <c r="H262" s="29"/>
      <c r="I262" s="29"/>
      <c r="J262" s="29"/>
      <c r="K262" s="29"/>
      <c r="L262" s="121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147"/>
      <c r="AN262" s="147"/>
      <c r="AO262" s="147"/>
      <c r="AP262" s="125">
        <f t="shared" si="32"/>
        <v>0</v>
      </c>
      <c r="AQ262" s="32"/>
      <c r="AR262" s="32">
        <f t="shared" si="35"/>
        <v>0</v>
      </c>
      <c r="AS262" s="32">
        <f t="shared" si="33"/>
        <v>0</v>
      </c>
      <c r="AT262" s="32"/>
      <c r="AU262" s="72"/>
      <c r="AV262" s="72"/>
      <c r="AW262" s="165"/>
      <c r="AX262" s="72">
        <f t="shared" si="34"/>
        <v>0</v>
      </c>
    </row>
    <row r="263" spans="1:50" ht="30" customHeight="1">
      <c r="A263" s="149" t="s">
        <v>16</v>
      </c>
      <c r="B263" s="150"/>
      <c r="C263" s="151"/>
      <c r="D263" s="151"/>
      <c r="E263" s="95"/>
      <c r="F263" s="95"/>
      <c r="G263" s="95"/>
      <c r="H263" s="95"/>
      <c r="I263" s="95"/>
      <c r="J263" s="95"/>
      <c r="K263" s="95"/>
      <c r="L263" s="96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8"/>
      <c r="AN263" s="98"/>
      <c r="AO263" s="98"/>
      <c r="AP263" s="136">
        <f t="shared" si="32"/>
        <v>0</v>
      </c>
      <c r="AQ263" s="97"/>
      <c r="AR263" s="97">
        <f t="shared" si="35"/>
        <v>0</v>
      </c>
      <c r="AS263" s="97">
        <f t="shared" si="33"/>
        <v>0</v>
      </c>
      <c r="AT263" s="97"/>
      <c r="AU263" s="72"/>
      <c r="AV263" s="72"/>
      <c r="AW263" s="165"/>
      <c r="AX263" s="72">
        <f t="shared" si="34"/>
        <v>0</v>
      </c>
    </row>
    <row r="264" spans="1:50" ht="23.25">
      <c r="A264" s="91"/>
      <c r="B264" s="87">
        <v>-1</v>
      </c>
      <c r="C264" s="148"/>
      <c r="D264" s="174" t="s">
        <v>153</v>
      </c>
      <c r="E264" s="88"/>
      <c r="F264" s="88"/>
      <c r="G264" s="88"/>
      <c r="H264" s="88"/>
      <c r="I264" s="88"/>
      <c r="J264" s="88"/>
      <c r="K264" s="88"/>
      <c r="L264" s="89"/>
      <c r="M264" s="85"/>
      <c r="N264" s="85">
        <v>9558</v>
      </c>
      <c r="O264" s="85"/>
      <c r="P264" s="85">
        <v>108</v>
      </c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6"/>
      <c r="AN264" s="86">
        <v>774</v>
      </c>
      <c r="AO264" s="86"/>
      <c r="AP264" s="137">
        <f t="shared" si="32"/>
        <v>10332</v>
      </c>
      <c r="AQ264" s="85">
        <v>10332</v>
      </c>
      <c r="AR264" s="85"/>
      <c r="AS264" s="85">
        <f t="shared" si="33"/>
        <v>0</v>
      </c>
      <c r="AT264" s="85">
        <v>2988</v>
      </c>
      <c r="AU264" s="72"/>
      <c r="AV264" s="72">
        <v>828</v>
      </c>
      <c r="AW264" s="165"/>
      <c r="AX264" s="72">
        <f t="shared" si="34"/>
        <v>3816</v>
      </c>
    </row>
    <row r="265" spans="1:50" ht="20.25" customHeight="1">
      <c r="A265" s="18"/>
      <c r="B265" s="19">
        <v>-2</v>
      </c>
      <c r="C265" s="21"/>
      <c r="D265" s="82" t="s">
        <v>154</v>
      </c>
      <c r="E265" s="20"/>
      <c r="F265" s="20"/>
      <c r="G265" s="20"/>
      <c r="H265" s="20"/>
      <c r="I265" s="20"/>
      <c r="J265" s="20"/>
      <c r="K265" s="20"/>
      <c r="L265" s="14"/>
      <c r="M265" s="15"/>
      <c r="N265" s="15">
        <v>2952.5</v>
      </c>
      <c r="O265" s="15"/>
      <c r="P265" s="15"/>
      <c r="Q265" s="15"/>
      <c r="R265" s="15"/>
      <c r="S265" s="15"/>
      <c r="T265" s="15">
        <v>1576.25</v>
      </c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>
        <v>198.85</v>
      </c>
      <c r="AG265" s="15"/>
      <c r="AH265" s="15">
        <v>4.85</v>
      </c>
      <c r="AI265" s="15"/>
      <c r="AJ265" s="15">
        <f>63.05+1</f>
        <v>64.05</v>
      </c>
      <c r="AK265" s="15"/>
      <c r="AL265" s="15">
        <v>2352.25</v>
      </c>
      <c r="AM265" s="16"/>
      <c r="AN265" s="16">
        <v>339.5</v>
      </c>
      <c r="AO265" s="16"/>
      <c r="AP265" s="128">
        <f t="shared" si="32"/>
        <v>3292</v>
      </c>
      <c r="AQ265" s="15">
        <v>3292</v>
      </c>
      <c r="AR265" s="15"/>
      <c r="AS265" s="15">
        <f t="shared" si="33"/>
        <v>0</v>
      </c>
      <c r="AT265" s="15">
        <v>82</v>
      </c>
      <c r="AU265" s="72"/>
      <c r="AV265" s="72">
        <v>0</v>
      </c>
      <c r="AW265" s="165"/>
      <c r="AX265" s="72">
        <f t="shared" si="34"/>
        <v>82</v>
      </c>
    </row>
    <row r="266" spans="1:50" ht="23.25">
      <c r="A266" s="18"/>
      <c r="B266" s="19">
        <v>-3</v>
      </c>
      <c r="C266" s="21"/>
      <c r="D266" s="82" t="s">
        <v>155</v>
      </c>
      <c r="E266" s="20"/>
      <c r="F266" s="20"/>
      <c r="G266" s="20"/>
      <c r="H266" s="20"/>
      <c r="I266" s="20"/>
      <c r="J266" s="20"/>
      <c r="K266" s="20"/>
      <c r="L266" s="14"/>
      <c r="M266" s="15"/>
      <c r="N266" s="15">
        <v>29380</v>
      </c>
      <c r="O266" s="15"/>
      <c r="P266" s="15"/>
      <c r="Q266" s="15"/>
      <c r="R266" s="15"/>
      <c r="S266" s="15"/>
      <c r="T266" s="15"/>
      <c r="U266" s="15"/>
      <c r="V266" s="15">
        <v>630</v>
      </c>
      <c r="W266" s="15"/>
      <c r="X266" s="15"/>
      <c r="Y266" s="15"/>
      <c r="Z266" s="15"/>
      <c r="AA266" s="15"/>
      <c r="AB266" s="15"/>
      <c r="AC266" s="15"/>
      <c r="AD266" s="15">
        <v>892.4</v>
      </c>
      <c r="AE266" s="15"/>
      <c r="AF266" s="15"/>
      <c r="AG266" s="15"/>
      <c r="AH266" s="15"/>
      <c r="AI266" s="15"/>
      <c r="AJ266" s="15"/>
      <c r="AK266" s="15"/>
      <c r="AL266" s="15"/>
      <c r="AM266" s="16"/>
      <c r="AN266" s="16">
        <v>3000</v>
      </c>
      <c r="AO266" s="16"/>
      <c r="AP266" s="128">
        <f t="shared" si="32"/>
        <v>32380</v>
      </c>
      <c r="AQ266" s="15">
        <v>32380</v>
      </c>
      <c r="AR266" s="15"/>
      <c r="AS266" s="15">
        <f t="shared" si="33"/>
        <v>0</v>
      </c>
      <c r="AT266" s="15">
        <v>7850</v>
      </c>
      <c r="AU266" s="72"/>
      <c r="AV266" s="72">
        <v>2500</v>
      </c>
      <c r="AW266" s="165"/>
      <c r="AX266" s="72">
        <f t="shared" si="34"/>
        <v>10350</v>
      </c>
    </row>
    <row r="267" spans="1:50" ht="23.25">
      <c r="A267" s="18"/>
      <c r="B267" s="19">
        <v>-4</v>
      </c>
      <c r="C267" s="21"/>
      <c r="D267" s="82" t="s">
        <v>156</v>
      </c>
      <c r="E267" s="20"/>
      <c r="F267" s="20"/>
      <c r="G267" s="20"/>
      <c r="H267" s="20"/>
      <c r="I267" s="20"/>
      <c r="J267" s="20"/>
      <c r="K267" s="20"/>
      <c r="L267" s="14"/>
      <c r="M267" s="15"/>
      <c r="N267" s="15">
        <v>870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6"/>
      <c r="AN267" s="16">
        <v>20</v>
      </c>
      <c r="AO267" s="16"/>
      <c r="AP267" s="128">
        <f t="shared" si="32"/>
        <v>890</v>
      </c>
      <c r="AQ267" s="15">
        <v>890</v>
      </c>
      <c r="AR267" s="15"/>
      <c r="AS267" s="15">
        <f t="shared" si="33"/>
        <v>0</v>
      </c>
      <c r="AT267" s="15">
        <v>520</v>
      </c>
      <c r="AU267" s="72"/>
      <c r="AV267" s="72">
        <v>60</v>
      </c>
      <c r="AW267" s="165"/>
      <c r="AX267" s="72">
        <f t="shared" si="34"/>
        <v>580</v>
      </c>
    </row>
    <row r="268" spans="1:50" ht="23.25">
      <c r="A268" s="18"/>
      <c r="B268" s="19">
        <v>-5</v>
      </c>
      <c r="C268" s="21"/>
      <c r="D268" s="82" t="s">
        <v>157</v>
      </c>
      <c r="E268" s="20"/>
      <c r="F268" s="20"/>
      <c r="G268" s="20"/>
      <c r="H268" s="20"/>
      <c r="I268" s="20"/>
      <c r="J268" s="20"/>
      <c r="K268" s="20"/>
      <c r="L268" s="14"/>
      <c r="M268" s="15"/>
      <c r="N268" s="15">
        <v>0</v>
      </c>
      <c r="O268" s="15"/>
      <c r="P268" s="15">
        <v>540</v>
      </c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6"/>
      <c r="AN268" s="16"/>
      <c r="AO268" s="16"/>
      <c r="AP268" s="128">
        <f t="shared" si="32"/>
        <v>0</v>
      </c>
      <c r="AQ268" s="15"/>
      <c r="AR268" s="15"/>
      <c r="AS268" s="15">
        <f t="shared" si="33"/>
        <v>0</v>
      </c>
      <c r="AT268" s="15"/>
      <c r="AU268" s="72"/>
      <c r="AV268" s="72"/>
      <c r="AW268" s="165"/>
      <c r="AX268" s="72">
        <f t="shared" si="34"/>
        <v>0</v>
      </c>
    </row>
    <row r="269" spans="1:50" ht="23.25">
      <c r="A269" s="18"/>
      <c r="B269" s="19">
        <v>-6</v>
      </c>
      <c r="C269" s="21"/>
      <c r="D269" s="82" t="s">
        <v>158</v>
      </c>
      <c r="E269" s="20"/>
      <c r="F269" s="20"/>
      <c r="G269" s="20"/>
      <c r="H269" s="20"/>
      <c r="I269" s="20"/>
      <c r="J269" s="20"/>
      <c r="K269" s="20"/>
      <c r="L269" s="14"/>
      <c r="M269" s="15"/>
      <c r="N269" s="15">
        <v>2000</v>
      </c>
      <c r="O269" s="15"/>
      <c r="P269" s="15">
        <v>11410</v>
      </c>
      <c r="Q269" s="15"/>
      <c r="R269" s="15">
        <v>11885</v>
      </c>
      <c r="S269" s="15"/>
      <c r="T269" s="15">
        <v>11460</v>
      </c>
      <c r="U269" s="15"/>
      <c r="V269" s="15">
        <v>7210</v>
      </c>
      <c r="W269" s="15"/>
      <c r="X269" s="15">
        <v>7810</v>
      </c>
      <c r="Y269" s="15"/>
      <c r="Z269" s="15">
        <v>7060</v>
      </c>
      <c r="AA269" s="15"/>
      <c r="AB269" s="15">
        <v>6390</v>
      </c>
      <c r="AC269" s="15"/>
      <c r="AD269" s="15">
        <v>4630</v>
      </c>
      <c r="AE269" s="15"/>
      <c r="AF269" s="15">
        <v>8310</v>
      </c>
      <c r="AG269" s="15"/>
      <c r="AH269" s="15">
        <v>11965</v>
      </c>
      <c r="AI269" s="15"/>
      <c r="AJ269" s="15">
        <v>4620</v>
      </c>
      <c r="AK269" s="15"/>
      <c r="AL269" s="15">
        <v>14465</v>
      </c>
      <c r="AM269" s="16"/>
      <c r="AN269" s="16"/>
      <c r="AO269" s="16"/>
      <c r="AP269" s="128">
        <f t="shared" si="32"/>
        <v>2000</v>
      </c>
      <c r="AQ269" s="15">
        <v>2000</v>
      </c>
      <c r="AR269" s="15"/>
      <c r="AS269" s="15">
        <f t="shared" si="33"/>
        <v>0</v>
      </c>
      <c r="AT269" s="15">
        <v>2000</v>
      </c>
      <c r="AU269" s="72"/>
      <c r="AV269" s="72"/>
      <c r="AW269" s="165"/>
      <c r="AX269" s="72">
        <f t="shared" si="34"/>
        <v>2000</v>
      </c>
    </row>
    <row r="270" spans="1:50" ht="23.25">
      <c r="A270" s="18"/>
      <c r="B270" s="19">
        <v>-7</v>
      </c>
      <c r="C270" s="21"/>
      <c r="D270" s="101" t="s">
        <v>159</v>
      </c>
      <c r="E270" s="20"/>
      <c r="F270" s="20"/>
      <c r="G270" s="20"/>
      <c r="H270" s="20"/>
      <c r="I270" s="20"/>
      <c r="J270" s="20"/>
      <c r="K270" s="20"/>
      <c r="L270" s="14"/>
      <c r="M270" s="15"/>
      <c r="N270" s="15">
        <v>1700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6"/>
      <c r="AN270" s="16"/>
      <c r="AO270" s="16"/>
      <c r="AP270" s="128">
        <f t="shared" si="32"/>
        <v>1700</v>
      </c>
      <c r="AQ270" s="15">
        <v>1700</v>
      </c>
      <c r="AR270" s="15"/>
      <c r="AS270" s="15">
        <f t="shared" si="33"/>
        <v>0</v>
      </c>
      <c r="AT270" s="15">
        <v>400</v>
      </c>
      <c r="AU270" s="72"/>
      <c r="AV270" s="72">
        <v>500</v>
      </c>
      <c r="AW270" s="165"/>
      <c r="AX270" s="72">
        <f t="shared" si="34"/>
        <v>900</v>
      </c>
    </row>
    <row r="271" spans="1:50" ht="23.25">
      <c r="A271" s="18"/>
      <c r="B271" s="19">
        <v>-8</v>
      </c>
      <c r="C271" s="21"/>
      <c r="D271" s="101" t="s">
        <v>160</v>
      </c>
      <c r="E271" s="20"/>
      <c r="F271" s="20"/>
      <c r="G271" s="20"/>
      <c r="H271" s="20"/>
      <c r="I271" s="20"/>
      <c r="J271" s="20"/>
      <c r="K271" s="20"/>
      <c r="L271" s="14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6"/>
      <c r="AN271" s="16"/>
      <c r="AO271" s="16"/>
      <c r="AP271" s="128">
        <f t="shared" si="32"/>
        <v>0</v>
      </c>
      <c r="AQ271" s="15"/>
      <c r="AR271" s="15"/>
      <c r="AS271" s="15">
        <f t="shared" si="33"/>
        <v>0</v>
      </c>
      <c r="AT271" s="15"/>
      <c r="AU271" s="72"/>
      <c r="AV271" s="72"/>
      <c r="AW271" s="165"/>
      <c r="AX271" s="72">
        <f t="shared" si="34"/>
        <v>0</v>
      </c>
    </row>
    <row r="272" spans="1:50" ht="23.25">
      <c r="A272" s="18"/>
      <c r="B272" s="19">
        <v>-9</v>
      </c>
      <c r="C272" s="21"/>
      <c r="D272" s="82" t="s">
        <v>179</v>
      </c>
      <c r="E272" s="20"/>
      <c r="F272" s="20"/>
      <c r="G272" s="20"/>
      <c r="H272" s="20"/>
      <c r="I272" s="20"/>
      <c r="J272" s="20"/>
      <c r="K272" s="20"/>
      <c r="L272" s="14"/>
      <c r="M272" s="15"/>
      <c r="N272" s="15">
        <v>260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6"/>
      <c r="AN272" s="16">
        <v>60</v>
      </c>
      <c r="AO272" s="16"/>
      <c r="AP272" s="128">
        <f t="shared" si="32"/>
        <v>320</v>
      </c>
      <c r="AQ272" s="15">
        <v>320</v>
      </c>
      <c r="AR272" s="15"/>
      <c r="AS272" s="15">
        <f t="shared" si="33"/>
        <v>0</v>
      </c>
      <c r="AT272" s="15">
        <v>40</v>
      </c>
      <c r="AU272" s="72"/>
      <c r="AV272" s="72"/>
      <c r="AW272" s="165"/>
      <c r="AX272" s="72">
        <f t="shared" si="34"/>
        <v>40</v>
      </c>
    </row>
    <row r="273" spans="1:50" ht="23.25">
      <c r="A273" s="18"/>
      <c r="B273" s="19">
        <v>-10</v>
      </c>
      <c r="C273" s="21"/>
      <c r="D273" s="82" t="s">
        <v>161</v>
      </c>
      <c r="E273" s="20"/>
      <c r="F273" s="20"/>
      <c r="G273" s="20"/>
      <c r="H273" s="20"/>
      <c r="I273" s="20"/>
      <c r="J273" s="20"/>
      <c r="K273" s="20"/>
      <c r="L273" s="14"/>
      <c r="M273" s="15"/>
      <c r="N273" s="15">
        <v>75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6"/>
      <c r="AN273" s="16"/>
      <c r="AO273" s="16"/>
      <c r="AP273" s="128">
        <f t="shared" si="32"/>
        <v>75</v>
      </c>
      <c r="AQ273" s="15">
        <v>75</v>
      </c>
      <c r="AR273" s="15"/>
      <c r="AS273" s="15">
        <f t="shared" si="33"/>
        <v>0</v>
      </c>
      <c r="AT273" s="15"/>
      <c r="AU273" s="72"/>
      <c r="AV273" s="72"/>
      <c r="AW273" s="165"/>
      <c r="AX273" s="72">
        <f t="shared" si="34"/>
        <v>0</v>
      </c>
    </row>
    <row r="274" spans="1:50" ht="23.25">
      <c r="A274" s="18"/>
      <c r="B274" s="19">
        <v>-11</v>
      </c>
      <c r="C274" s="21"/>
      <c r="D274" s="82" t="s">
        <v>162</v>
      </c>
      <c r="E274" s="20"/>
      <c r="F274" s="20"/>
      <c r="G274" s="20"/>
      <c r="H274" s="20"/>
      <c r="I274" s="20"/>
      <c r="J274" s="20"/>
      <c r="K274" s="20"/>
      <c r="L274" s="14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6"/>
      <c r="AN274" s="16"/>
      <c r="AO274" s="16"/>
      <c r="AP274" s="128">
        <f t="shared" si="32"/>
        <v>0</v>
      </c>
      <c r="AQ274" s="15"/>
      <c r="AR274" s="15">
        <f>SUM(AP274:AQ274)</f>
        <v>0</v>
      </c>
      <c r="AS274" s="15">
        <f t="shared" si="33"/>
        <v>0</v>
      </c>
      <c r="AT274" s="15"/>
      <c r="AU274" s="72"/>
      <c r="AV274" s="72"/>
      <c r="AW274" s="165"/>
      <c r="AX274" s="72">
        <f t="shared" si="34"/>
        <v>0</v>
      </c>
    </row>
    <row r="275" spans="1:50" ht="23.25" hidden="1">
      <c r="A275" s="18"/>
      <c r="B275" s="19"/>
      <c r="C275" s="21"/>
      <c r="D275" s="82" t="s">
        <v>162</v>
      </c>
      <c r="E275" s="20"/>
      <c r="F275" s="20"/>
      <c r="G275" s="20"/>
      <c r="H275" s="20"/>
      <c r="I275" s="20"/>
      <c r="J275" s="20"/>
      <c r="K275" s="20"/>
      <c r="L275" s="14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6"/>
      <c r="AN275" s="16"/>
      <c r="AO275" s="16"/>
      <c r="AP275" s="128">
        <f t="shared" si="32"/>
        <v>0</v>
      </c>
      <c r="AQ275" s="15"/>
      <c r="AR275" s="15">
        <f>SUM(AP275:AQ275)</f>
        <v>0</v>
      </c>
      <c r="AS275" s="15">
        <f t="shared" si="33"/>
        <v>0</v>
      </c>
      <c r="AT275" s="15"/>
      <c r="AU275" s="72"/>
      <c r="AV275" s="72"/>
      <c r="AW275" s="165"/>
      <c r="AX275" s="72">
        <f t="shared" si="34"/>
        <v>0</v>
      </c>
    </row>
    <row r="276" spans="1:50" ht="23.25" hidden="1">
      <c r="A276" s="18"/>
      <c r="B276" s="19"/>
      <c r="C276" s="21"/>
      <c r="D276" s="82" t="s">
        <v>162</v>
      </c>
      <c r="E276" s="20"/>
      <c r="F276" s="20"/>
      <c r="G276" s="20"/>
      <c r="H276" s="20"/>
      <c r="I276" s="20"/>
      <c r="J276" s="20"/>
      <c r="K276" s="20"/>
      <c r="L276" s="14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6"/>
      <c r="AN276" s="16"/>
      <c r="AO276" s="16"/>
      <c r="AP276" s="128">
        <f t="shared" si="32"/>
        <v>0</v>
      </c>
      <c r="AQ276" s="15"/>
      <c r="AR276" s="15">
        <f>SUM(AP276:AQ276)</f>
        <v>0</v>
      </c>
      <c r="AS276" s="15">
        <f t="shared" si="33"/>
        <v>0</v>
      </c>
      <c r="AT276" s="15"/>
      <c r="AU276" s="72"/>
      <c r="AV276" s="72"/>
      <c r="AW276" s="165"/>
      <c r="AX276" s="72">
        <f t="shared" si="34"/>
        <v>0</v>
      </c>
    </row>
    <row r="277" spans="1:50" ht="23.25">
      <c r="A277" s="18"/>
      <c r="B277" s="19">
        <v>-12</v>
      </c>
      <c r="C277" s="21"/>
      <c r="D277" s="82" t="s">
        <v>163</v>
      </c>
      <c r="E277" s="20"/>
      <c r="F277" s="20"/>
      <c r="G277" s="20"/>
      <c r="H277" s="20"/>
      <c r="I277" s="20"/>
      <c r="J277" s="20"/>
      <c r="K277" s="20"/>
      <c r="L277" s="14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6"/>
      <c r="AN277" s="16"/>
      <c r="AO277" s="16"/>
      <c r="AP277" s="128">
        <f t="shared" si="32"/>
        <v>0</v>
      </c>
      <c r="AQ277" s="15"/>
      <c r="AR277" s="15">
        <f>SUM(AP277:AQ277)</f>
        <v>0</v>
      </c>
      <c r="AS277" s="15">
        <f t="shared" si="33"/>
        <v>0</v>
      </c>
      <c r="AT277" s="15"/>
      <c r="AU277" s="72"/>
      <c r="AV277" s="72"/>
      <c r="AW277" s="165"/>
      <c r="AX277" s="72">
        <f t="shared" si="34"/>
        <v>0</v>
      </c>
    </row>
    <row r="278" spans="1:50" ht="23.25">
      <c r="A278" s="18"/>
      <c r="B278" s="19">
        <v>-13</v>
      </c>
      <c r="C278" s="21"/>
      <c r="D278" s="101" t="s">
        <v>164</v>
      </c>
      <c r="E278" s="20"/>
      <c r="F278" s="20"/>
      <c r="G278" s="20"/>
      <c r="H278" s="20"/>
      <c r="I278" s="20"/>
      <c r="J278" s="20"/>
      <c r="K278" s="20"/>
      <c r="L278" s="14"/>
      <c r="M278" s="15"/>
      <c r="N278" s="15">
        <v>1900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6"/>
      <c r="AN278" s="16"/>
      <c r="AO278" s="16"/>
      <c r="AP278" s="128">
        <f t="shared" si="32"/>
        <v>1900</v>
      </c>
      <c r="AQ278" s="15">
        <v>1900</v>
      </c>
      <c r="AR278" s="15"/>
      <c r="AS278" s="15">
        <f t="shared" si="33"/>
        <v>0</v>
      </c>
      <c r="AT278" s="15">
        <v>1300</v>
      </c>
      <c r="AU278" s="72"/>
      <c r="AV278" s="72">
        <v>200</v>
      </c>
      <c r="AW278" s="165"/>
      <c r="AX278" s="72">
        <f t="shared" si="34"/>
        <v>1500</v>
      </c>
    </row>
    <row r="279" spans="1:50" ht="23.25" hidden="1">
      <c r="A279" s="18"/>
      <c r="B279" s="19">
        <v>-13</v>
      </c>
      <c r="C279" s="21"/>
      <c r="D279" s="20" t="s">
        <v>165</v>
      </c>
      <c r="E279" s="20"/>
      <c r="F279" s="20"/>
      <c r="G279" s="20"/>
      <c r="H279" s="20"/>
      <c r="I279" s="20"/>
      <c r="J279" s="20"/>
      <c r="K279" s="20"/>
      <c r="L279" s="14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6"/>
      <c r="AN279" s="16"/>
      <c r="AO279" s="16"/>
      <c r="AP279" s="128">
        <f t="shared" si="32"/>
        <v>0</v>
      </c>
      <c r="AQ279" s="15"/>
      <c r="AR279" s="15"/>
      <c r="AS279" s="15">
        <f t="shared" si="33"/>
        <v>0</v>
      </c>
      <c r="AT279" s="15"/>
      <c r="AU279" s="72"/>
      <c r="AV279" s="72"/>
      <c r="AW279" s="165"/>
      <c r="AX279" s="72">
        <f t="shared" si="34"/>
        <v>0</v>
      </c>
    </row>
    <row r="280" spans="1:50" ht="23.25" hidden="1">
      <c r="A280" s="18"/>
      <c r="B280" s="19">
        <v>-14</v>
      </c>
      <c r="C280" s="21"/>
      <c r="D280" s="20" t="s">
        <v>166</v>
      </c>
      <c r="E280" s="20"/>
      <c r="F280" s="20"/>
      <c r="G280" s="20"/>
      <c r="H280" s="20"/>
      <c r="I280" s="20"/>
      <c r="J280" s="20"/>
      <c r="K280" s="20"/>
      <c r="L280" s="14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6"/>
      <c r="AN280" s="16"/>
      <c r="AO280" s="16"/>
      <c r="AP280" s="128">
        <f t="shared" si="32"/>
        <v>0</v>
      </c>
      <c r="AQ280" s="15"/>
      <c r="AR280" s="15"/>
      <c r="AS280" s="15">
        <f t="shared" si="33"/>
        <v>0</v>
      </c>
      <c r="AT280" s="15"/>
      <c r="AU280" s="72"/>
      <c r="AV280" s="72"/>
      <c r="AW280" s="165"/>
      <c r="AX280" s="72">
        <f t="shared" si="34"/>
        <v>0</v>
      </c>
    </row>
    <row r="281" spans="1:50" ht="23.25" hidden="1">
      <c r="A281" s="18"/>
      <c r="B281" s="19"/>
      <c r="C281" s="21"/>
      <c r="D281" s="20" t="s">
        <v>167</v>
      </c>
      <c r="E281" s="20"/>
      <c r="F281" s="20"/>
      <c r="G281" s="20"/>
      <c r="H281" s="20"/>
      <c r="I281" s="20"/>
      <c r="J281" s="20"/>
      <c r="K281" s="20"/>
      <c r="L281" s="14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6"/>
      <c r="AN281" s="16"/>
      <c r="AO281" s="16"/>
      <c r="AP281" s="128">
        <f t="shared" si="32"/>
        <v>0</v>
      </c>
      <c r="AQ281" s="15"/>
      <c r="AR281" s="15"/>
      <c r="AS281" s="15">
        <f t="shared" si="33"/>
        <v>0</v>
      </c>
      <c r="AT281" s="15"/>
      <c r="AU281" s="72"/>
      <c r="AV281" s="72"/>
      <c r="AW281" s="165"/>
      <c r="AX281" s="72">
        <f t="shared" si="34"/>
        <v>0</v>
      </c>
    </row>
    <row r="282" spans="1:50" ht="23.25" hidden="1">
      <c r="A282" s="18"/>
      <c r="B282" s="19">
        <v>-15</v>
      </c>
      <c r="C282" s="21"/>
      <c r="D282" s="20" t="s">
        <v>168</v>
      </c>
      <c r="E282" s="20"/>
      <c r="F282" s="20"/>
      <c r="G282" s="20"/>
      <c r="H282" s="20"/>
      <c r="I282" s="20"/>
      <c r="J282" s="20"/>
      <c r="K282" s="20"/>
      <c r="L282" s="14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6"/>
      <c r="AN282" s="16"/>
      <c r="AO282" s="16"/>
      <c r="AP282" s="128">
        <f t="shared" si="32"/>
        <v>0</v>
      </c>
      <c r="AQ282" s="15"/>
      <c r="AR282" s="15"/>
      <c r="AS282" s="15">
        <f t="shared" si="33"/>
        <v>0</v>
      </c>
      <c r="AT282" s="15"/>
      <c r="AU282" s="72"/>
      <c r="AV282" s="72"/>
      <c r="AW282" s="165"/>
      <c r="AX282" s="72">
        <f t="shared" si="34"/>
        <v>0</v>
      </c>
    </row>
    <row r="283" spans="1:50" ht="23.25" hidden="1">
      <c r="A283" s="18"/>
      <c r="B283" s="19">
        <v>-16</v>
      </c>
      <c r="C283" s="21"/>
      <c r="D283" s="20" t="s">
        <v>169</v>
      </c>
      <c r="E283" s="20"/>
      <c r="F283" s="20"/>
      <c r="G283" s="20"/>
      <c r="H283" s="20"/>
      <c r="I283" s="20"/>
      <c r="J283" s="20"/>
      <c r="K283" s="20"/>
      <c r="L283" s="14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6"/>
      <c r="AN283" s="16"/>
      <c r="AO283" s="16"/>
      <c r="AP283" s="128">
        <f t="shared" si="32"/>
        <v>0</v>
      </c>
      <c r="AQ283" s="15"/>
      <c r="AR283" s="15"/>
      <c r="AS283" s="15">
        <f t="shared" si="33"/>
        <v>0</v>
      </c>
      <c r="AT283" s="15"/>
      <c r="AU283" s="72"/>
      <c r="AV283" s="72"/>
      <c r="AW283" s="165"/>
      <c r="AX283" s="72">
        <f t="shared" si="34"/>
        <v>0</v>
      </c>
    </row>
    <row r="284" spans="1:50" ht="23.25" hidden="1">
      <c r="A284" s="18"/>
      <c r="B284" s="19">
        <v>-17</v>
      </c>
      <c r="C284" s="21"/>
      <c r="D284" s="20" t="s">
        <v>170</v>
      </c>
      <c r="E284" s="20"/>
      <c r="F284" s="20"/>
      <c r="G284" s="20"/>
      <c r="H284" s="20"/>
      <c r="I284" s="20"/>
      <c r="J284" s="20"/>
      <c r="K284" s="20"/>
      <c r="L284" s="14"/>
      <c r="M284" s="15"/>
      <c r="N284" s="15"/>
      <c r="O284" s="15"/>
      <c r="P284" s="15">
        <v>1300</v>
      </c>
      <c r="Q284" s="15"/>
      <c r="R284" s="15">
        <v>3400</v>
      </c>
      <c r="S284" s="15"/>
      <c r="T284" s="15">
        <v>1000</v>
      </c>
      <c r="U284" s="15"/>
      <c r="V284" s="15">
        <v>700</v>
      </c>
      <c r="W284" s="15"/>
      <c r="X284" s="15">
        <v>2800</v>
      </c>
      <c r="Y284" s="15"/>
      <c r="Z284" s="15">
        <v>3250</v>
      </c>
      <c r="AA284" s="15"/>
      <c r="AB284" s="15">
        <v>5050</v>
      </c>
      <c r="AC284" s="15"/>
      <c r="AD284" s="15">
        <v>3050</v>
      </c>
      <c r="AE284" s="15"/>
      <c r="AF284" s="15">
        <v>2550</v>
      </c>
      <c r="AG284" s="15"/>
      <c r="AH284" s="15">
        <v>4750</v>
      </c>
      <c r="AI284" s="15"/>
      <c r="AJ284" s="15"/>
      <c r="AK284" s="15"/>
      <c r="AL284" s="15">
        <v>4350</v>
      </c>
      <c r="AM284" s="16"/>
      <c r="AN284" s="16"/>
      <c r="AO284" s="16"/>
      <c r="AP284" s="128">
        <f aca="true" t="shared" si="36" ref="AP284:AP315">N284+AN284-AM284</f>
        <v>0</v>
      </c>
      <c r="AQ284" s="15"/>
      <c r="AR284" s="15"/>
      <c r="AS284" s="15">
        <f t="shared" si="33"/>
        <v>0</v>
      </c>
      <c r="AT284" s="15"/>
      <c r="AU284" s="72"/>
      <c r="AV284" s="72"/>
      <c r="AW284" s="165"/>
      <c r="AX284" s="72">
        <f t="shared" si="34"/>
        <v>0</v>
      </c>
    </row>
    <row r="285" spans="1:50" ht="23.25" hidden="1">
      <c r="A285" s="18"/>
      <c r="B285" s="19">
        <v>-18</v>
      </c>
      <c r="C285" s="21"/>
      <c r="D285" s="20" t="s">
        <v>171</v>
      </c>
      <c r="E285" s="20"/>
      <c r="F285" s="20"/>
      <c r="G285" s="20"/>
      <c r="H285" s="20"/>
      <c r="I285" s="20"/>
      <c r="J285" s="20"/>
      <c r="K285" s="20"/>
      <c r="L285" s="14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6"/>
      <c r="AN285" s="16"/>
      <c r="AO285" s="16"/>
      <c r="AP285" s="128">
        <f t="shared" si="36"/>
        <v>0</v>
      </c>
      <c r="AQ285" s="15"/>
      <c r="AR285" s="15"/>
      <c r="AS285" s="15">
        <f aca="true" t="shared" si="37" ref="AS285:AS316">AP285-AQ285</f>
        <v>0</v>
      </c>
      <c r="AT285" s="15"/>
      <c r="AU285" s="72"/>
      <c r="AV285" s="72"/>
      <c r="AW285" s="165"/>
      <c r="AX285" s="72">
        <f t="shared" si="34"/>
        <v>0</v>
      </c>
    </row>
    <row r="286" spans="1:50" ht="23.25" hidden="1">
      <c r="A286" s="18"/>
      <c r="B286" s="19">
        <v>-19</v>
      </c>
      <c r="C286" s="21"/>
      <c r="D286" s="20" t="s">
        <v>172</v>
      </c>
      <c r="E286" s="20"/>
      <c r="F286" s="20"/>
      <c r="G286" s="20"/>
      <c r="H286" s="20"/>
      <c r="I286" s="20"/>
      <c r="J286" s="20"/>
      <c r="K286" s="20"/>
      <c r="L286" s="14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6"/>
      <c r="AN286" s="16"/>
      <c r="AO286" s="16"/>
      <c r="AP286" s="128">
        <f t="shared" si="36"/>
        <v>0</v>
      </c>
      <c r="AQ286" s="15"/>
      <c r="AR286" s="15"/>
      <c r="AS286" s="15">
        <f t="shared" si="37"/>
        <v>0</v>
      </c>
      <c r="AT286" s="15"/>
      <c r="AU286" s="72"/>
      <c r="AV286" s="72"/>
      <c r="AW286" s="165"/>
      <c r="AX286" s="72">
        <f t="shared" si="34"/>
        <v>0</v>
      </c>
    </row>
    <row r="287" spans="1:50" ht="23.25" hidden="1">
      <c r="A287" s="18"/>
      <c r="B287" s="19">
        <v>-20</v>
      </c>
      <c r="C287" s="21"/>
      <c r="D287" s="20" t="s">
        <v>173</v>
      </c>
      <c r="E287" s="20"/>
      <c r="F287" s="20"/>
      <c r="G287" s="20"/>
      <c r="H287" s="20"/>
      <c r="I287" s="20"/>
      <c r="J287" s="20"/>
      <c r="K287" s="20"/>
      <c r="L287" s="14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>
        <v>171150</v>
      </c>
      <c r="AK287" s="15"/>
      <c r="AL287" s="15"/>
      <c r="AM287" s="16"/>
      <c r="AN287" s="16"/>
      <c r="AO287" s="16"/>
      <c r="AP287" s="128">
        <f t="shared" si="36"/>
        <v>0</v>
      </c>
      <c r="AQ287" s="15"/>
      <c r="AR287" s="15"/>
      <c r="AS287" s="15">
        <f t="shared" si="37"/>
        <v>0</v>
      </c>
      <c r="AT287" s="15"/>
      <c r="AU287" s="72"/>
      <c r="AV287" s="72"/>
      <c r="AW287" s="165"/>
      <c r="AX287" s="72">
        <f t="shared" si="34"/>
        <v>0</v>
      </c>
    </row>
    <row r="288" spans="1:50" ht="23.25" hidden="1">
      <c r="A288" s="18"/>
      <c r="B288" s="19">
        <v>-21</v>
      </c>
      <c r="C288" s="21"/>
      <c r="D288" s="20" t="s">
        <v>157</v>
      </c>
      <c r="E288" s="20"/>
      <c r="F288" s="20"/>
      <c r="G288" s="20"/>
      <c r="H288" s="20"/>
      <c r="I288" s="20"/>
      <c r="J288" s="20"/>
      <c r="K288" s="20"/>
      <c r="L288" s="14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6"/>
      <c r="AN288" s="16"/>
      <c r="AO288" s="16"/>
      <c r="AP288" s="128">
        <f t="shared" si="36"/>
        <v>0</v>
      </c>
      <c r="AQ288" s="15"/>
      <c r="AR288" s="15"/>
      <c r="AS288" s="15">
        <f t="shared" si="37"/>
        <v>0</v>
      </c>
      <c r="AT288" s="15"/>
      <c r="AU288" s="72"/>
      <c r="AV288" s="72"/>
      <c r="AW288" s="165"/>
      <c r="AX288" s="72">
        <f t="shared" si="34"/>
        <v>0</v>
      </c>
    </row>
    <row r="289" spans="1:50" ht="23.25" hidden="1">
      <c r="A289" s="18"/>
      <c r="B289" s="19">
        <v>-22</v>
      </c>
      <c r="C289" s="21"/>
      <c r="D289" s="20" t="s">
        <v>174</v>
      </c>
      <c r="E289" s="20"/>
      <c r="F289" s="20"/>
      <c r="G289" s="20"/>
      <c r="H289" s="20"/>
      <c r="I289" s="20"/>
      <c r="J289" s="20"/>
      <c r="K289" s="20"/>
      <c r="L289" s="14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6"/>
      <c r="AN289" s="16"/>
      <c r="AO289" s="16"/>
      <c r="AP289" s="128">
        <f t="shared" si="36"/>
        <v>0</v>
      </c>
      <c r="AQ289" s="15"/>
      <c r="AR289" s="15"/>
      <c r="AS289" s="15">
        <f t="shared" si="37"/>
        <v>0</v>
      </c>
      <c r="AT289" s="15"/>
      <c r="AU289" s="72"/>
      <c r="AV289" s="72"/>
      <c r="AW289" s="165"/>
      <c r="AX289" s="72">
        <f t="shared" si="34"/>
        <v>0</v>
      </c>
    </row>
    <row r="290" spans="1:50" ht="23.25" hidden="1">
      <c r="A290" s="18"/>
      <c r="B290" s="19"/>
      <c r="C290" s="21"/>
      <c r="D290" s="20" t="s">
        <v>175</v>
      </c>
      <c r="E290" s="20"/>
      <c r="F290" s="20"/>
      <c r="G290" s="20"/>
      <c r="H290" s="20"/>
      <c r="I290" s="20"/>
      <c r="J290" s="20"/>
      <c r="K290" s="20"/>
      <c r="L290" s="14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6"/>
      <c r="AN290" s="16"/>
      <c r="AO290" s="16"/>
      <c r="AP290" s="128">
        <f t="shared" si="36"/>
        <v>0</v>
      </c>
      <c r="AQ290" s="15"/>
      <c r="AR290" s="15"/>
      <c r="AS290" s="15">
        <f t="shared" si="37"/>
        <v>0</v>
      </c>
      <c r="AT290" s="15"/>
      <c r="AU290" s="72"/>
      <c r="AV290" s="72"/>
      <c r="AW290" s="165"/>
      <c r="AX290" s="72">
        <f t="shared" si="34"/>
        <v>0</v>
      </c>
    </row>
    <row r="291" spans="1:50" ht="23.25" hidden="1">
      <c r="A291" s="18"/>
      <c r="B291" s="19">
        <v>-23</v>
      </c>
      <c r="C291" s="21"/>
      <c r="D291" s="20" t="s">
        <v>176</v>
      </c>
      <c r="E291" s="20"/>
      <c r="F291" s="20"/>
      <c r="G291" s="20"/>
      <c r="H291" s="20"/>
      <c r="I291" s="20"/>
      <c r="J291" s="20"/>
      <c r="K291" s="20"/>
      <c r="L291" s="14"/>
      <c r="M291" s="15"/>
      <c r="N291" s="15"/>
      <c r="O291" s="15"/>
      <c r="P291" s="15"/>
      <c r="Q291" s="15"/>
      <c r="R291" s="15"/>
      <c r="S291" s="15"/>
      <c r="T291" s="15"/>
      <c r="U291" s="15"/>
      <c r="V291" s="15">
        <v>2000</v>
      </c>
      <c r="W291" s="15"/>
      <c r="X291" s="15"/>
      <c r="Y291" s="15"/>
      <c r="Z291" s="15"/>
      <c r="AA291" s="15"/>
      <c r="AB291" s="15">
        <v>6000</v>
      </c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6"/>
      <c r="AN291" s="16"/>
      <c r="AO291" s="16"/>
      <c r="AP291" s="128">
        <f t="shared" si="36"/>
        <v>0</v>
      </c>
      <c r="AQ291" s="15"/>
      <c r="AR291" s="15"/>
      <c r="AS291" s="15">
        <f t="shared" si="37"/>
        <v>0</v>
      </c>
      <c r="AT291" s="15"/>
      <c r="AU291" s="72"/>
      <c r="AV291" s="72"/>
      <c r="AW291" s="165"/>
      <c r="AX291" s="72">
        <f t="shared" si="34"/>
        <v>0</v>
      </c>
    </row>
    <row r="292" spans="1:50" ht="23.25" hidden="1">
      <c r="A292" s="18"/>
      <c r="B292" s="19">
        <v>-24</v>
      </c>
      <c r="C292" s="21"/>
      <c r="D292" s="20" t="s">
        <v>159</v>
      </c>
      <c r="E292" s="20"/>
      <c r="F292" s="20"/>
      <c r="G292" s="20"/>
      <c r="H292" s="20"/>
      <c r="I292" s="20"/>
      <c r="J292" s="20"/>
      <c r="K292" s="20"/>
      <c r="L292" s="14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>
        <v>300</v>
      </c>
      <c r="AA292" s="15"/>
      <c r="AB292" s="15"/>
      <c r="AC292" s="15"/>
      <c r="AD292" s="15"/>
      <c r="AE292" s="15"/>
      <c r="AF292" s="15"/>
      <c r="AG292" s="15"/>
      <c r="AH292" s="15"/>
      <c r="AI292" s="15"/>
      <c r="AJ292" s="15">
        <v>1750</v>
      </c>
      <c r="AK292" s="15"/>
      <c r="AL292" s="15"/>
      <c r="AM292" s="16"/>
      <c r="AN292" s="16"/>
      <c r="AO292" s="16"/>
      <c r="AP292" s="128">
        <f t="shared" si="36"/>
        <v>0</v>
      </c>
      <c r="AQ292" s="15"/>
      <c r="AR292" s="15"/>
      <c r="AS292" s="15">
        <f t="shared" si="37"/>
        <v>0</v>
      </c>
      <c r="AT292" s="15"/>
      <c r="AU292" s="72"/>
      <c r="AV292" s="72"/>
      <c r="AW292" s="165"/>
      <c r="AX292" s="72">
        <f t="shared" si="34"/>
        <v>0</v>
      </c>
    </row>
    <row r="293" spans="1:50" ht="23.25" hidden="1">
      <c r="A293" s="18"/>
      <c r="B293" s="19"/>
      <c r="C293" s="21"/>
      <c r="D293" s="20" t="s">
        <v>177</v>
      </c>
      <c r="E293" s="20"/>
      <c r="F293" s="20"/>
      <c r="G293" s="20"/>
      <c r="H293" s="20"/>
      <c r="I293" s="20"/>
      <c r="J293" s="20"/>
      <c r="K293" s="20"/>
      <c r="L293" s="14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6"/>
      <c r="AN293" s="16"/>
      <c r="AO293" s="16"/>
      <c r="AP293" s="128">
        <f t="shared" si="36"/>
        <v>0</v>
      </c>
      <c r="AQ293" s="15"/>
      <c r="AR293" s="15"/>
      <c r="AS293" s="15">
        <f t="shared" si="37"/>
        <v>0</v>
      </c>
      <c r="AT293" s="15"/>
      <c r="AU293" s="72"/>
      <c r="AV293" s="72"/>
      <c r="AW293" s="165"/>
      <c r="AX293" s="72">
        <f t="shared" si="34"/>
        <v>0</v>
      </c>
    </row>
    <row r="294" spans="1:50" ht="23.25" hidden="1">
      <c r="A294" s="18"/>
      <c r="B294" s="19">
        <v>-25</v>
      </c>
      <c r="C294" s="21"/>
      <c r="D294" s="20" t="s">
        <v>178</v>
      </c>
      <c r="E294" s="20"/>
      <c r="F294" s="20"/>
      <c r="G294" s="20"/>
      <c r="H294" s="20"/>
      <c r="I294" s="20"/>
      <c r="J294" s="20"/>
      <c r="K294" s="20"/>
      <c r="L294" s="14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>
        <v>2500</v>
      </c>
      <c r="AG294" s="15"/>
      <c r="AH294" s="15">
        <v>50</v>
      </c>
      <c r="AI294" s="15"/>
      <c r="AJ294" s="15">
        <v>700</v>
      </c>
      <c r="AK294" s="15"/>
      <c r="AL294" s="15">
        <v>250</v>
      </c>
      <c r="AM294" s="16"/>
      <c r="AN294" s="16"/>
      <c r="AO294" s="16"/>
      <c r="AP294" s="128">
        <f t="shared" si="36"/>
        <v>0</v>
      </c>
      <c r="AQ294" s="15"/>
      <c r="AR294" s="15"/>
      <c r="AS294" s="15">
        <f t="shared" si="37"/>
        <v>0</v>
      </c>
      <c r="AT294" s="15"/>
      <c r="AU294" s="72"/>
      <c r="AV294" s="72"/>
      <c r="AW294" s="165"/>
      <c r="AX294" s="72">
        <f t="shared" si="34"/>
        <v>0</v>
      </c>
    </row>
    <row r="295" spans="1:50" ht="23.25" hidden="1">
      <c r="A295" s="18"/>
      <c r="B295" s="19">
        <v>-26</v>
      </c>
      <c r="C295" s="21"/>
      <c r="D295" s="20" t="s">
        <v>179</v>
      </c>
      <c r="E295" s="20"/>
      <c r="F295" s="20"/>
      <c r="G295" s="20"/>
      <c r="H295" s="20"/>
      <c r="I295" s="20"/>
      <c r="J295" s="20"/>
      <c r="K295" s="20"/>
      <c r="L295" s="14"/>
      <c r="M295" s="15"/>
      <c r="N295" s="15"/>
      <c r="O295" s="15"/>
      <c r="P295" s="15">
        <v>210</v>
      </c>
      <c r="Q295" s="15"/>
      <c r="R295" s="15">
        <v>256</v>
      </c>
      <c r="S295" s="15"/>
      <c r="T295" s="15">
        <v>426</v>
      </c>
      <c r="U295" s="15"/>
      <c r="V295" s="15"/>
      <c r="W295" s="15"/>
      <c r="X295" s="15">
        <v>103</v>
      </c>
      <c r="Y295" s="15"/>
      <c r="Z295" s="15">
        <v>459</v>
      </c>
      <c r="AA295" s="15"/>
      <c r="AB295" s="15">
        <v>292</v>
      </c>
      <c r="AC295" s="15"/>
      <c r="AD295" s="15">
        <v>57</v>
      </c>
      <c r="AE295" s="15"/>
      <c r="AF295" s="15">
        <v>491</v>
      </c>
      <c r="AG295" s="15"/>
      <c r="AH295" s="15">
        <v>207</v>
      </c>
      <c r="AI295" s="15"/>
      <c r="AJ295" s="15">
        <v>587</v>
      </c>
      <c r="AK295" s="15"/>
      <c r="AL295" s="15">
        <v>378</v>
      </c>
      <c r="AM295" s="16"/>
      <c r="AN295" s="16"/>
      <c r="AO295" s="16"/>
      <c r="AP295" s="128">
        <f t="shared" si="36"/>
        <v>0</v>
      </c>
      <c r="AQ295" s="15"/>
      <c r="AR295" s="15"/>
      <c r="AS295" s="15">
        <f t="shared" si="37"/>
        <v>0</v>
      </c>
      <c r="AT295" s="15"/>
      <c r="AU295" s="72"/>
      <c r="AV295" s="72"/>
      <c r="AW295" s="165"/>
      <c r="AX295" s="72">
        <f t="shared" si="34"/>
        <v>0</v>
      </c>
    </row>
    <row r="296" spans="1:50" ht="23.25" hidden="1">
      <c r="A296" s="18"/>
      <c r="B296" s="19">
        <v>-27</v>
      </c>
      <c r="C296" s="21"/>
      <c r="D296" s="20" t="s">
        <v>180</v>
      </c>
      <c r="E296" s="20"/>
      <c r="F296" s="20"/>
      <c r="G296" s="20"/>
      <c r="H296" s="20"/>
      <c r="I296" s="20"/>
      <c r="J296" s="20"/>
      <c r="K296" s="20"/>
      <c r="L296" s="14"/>
      <c r="M296" s="15"/>
      <c r="N296" s="15"/>
      <c r="O296" s="15"/>
      <c r="P296" s="15">
        <v>195</v>
      </c>
      <c r="Q296" s="15"/>
      <c r="R296" s="15">
        <v>10</v>
      </c>
      <c r="S296" s="15"/>
      <c r="T296" s="15">
        <v>120</v>
      </c>
      <c r="U296" s="15"/>
      <c r="V296" s="15">
        <v>135</v>
      </c>
      <c r="W296" s="15"/>
      <c r="X296" s="15">
        <v>20</v>
      </c>
      <c r="Y296" s="15"/>
      <c r="Z296" s="15">
        <v>500</v>
      </c>
      <c r="AA296" s="15"/>
      <c r="AB296" s="15">
        <v>210</v>
      </c>
      <c r="AC296" s="15"/>
      <c r="AD296" s="15">
        <v>340</v>
      </c>
      <c r="AE296" s="15"/>
      <c r="AF296" s="15">
        <v>180</v>
      </c>
      <c r="AG296" s="15"/>
      <c r="AH296" s="15">
        <v>10</v>
      </c>
      <c r="AI296" s="15"/>
      <c r="AJ296" s="15">
        <v>150</v>
      </c>
      <c r="AK296" s="15"/>
      <c r="AL296" s="15">
        <v>195</v>
      </c>
      <c r="AM296" s="16"/>
      <c r="AN296" s="16"/>
      <c r="AO296" s="16"/>
      <c r="AP296" s="128">
        <f t="shared" si="36"/>
        <v>0</v>
      </c>
      <c r="AQ296" s="15"/>
      <c r="AR296" s="15"/>
      <c r="AS296" s="15">
        <f t="shared" si="37"/>
        <v>0</v>
      </c>
      <c r="AT296" s="15"/>
      <c r="AU296" s="72"/>
      <c r="AV296" s="72"/>
      <c r="AW296" s="165"/>
      <c r="AX296" s="72">
        <f t="shared" si="34"/>
        <v>0</v>
      </c>
    </row>
    <row r="297" spans="1:50" ht="23.25" hidden="1">
      <c r="A297" s="18"/>
      <c r="B297" s="19">
        <v>-28</v>
      </c>
      <c r="C297" s="21"/>
      <c r="D297" s="20" t="s">
        <v>181</v>
      </c>
      <c r="E297" s="20"/>
      <c r="F297" s="20"/>
      <c r="G297" s="20"/>
      <c r="H297" s="20"/>
      <c r="I297" s="20"/>
      <c r="J297" s="20"/>
      <c r="K297" s="20"/>
      <c r="L297" s="14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6"/>
      <c r="AN297" s="16"/>
      <c r="AO297" s="16"/>
      <c r="AP297" s="128">
        <f t="shared" si="36"/>
        <v>0</v>
      </c>
      <c r="AQ297" s="15"/>
      <c r="AR297" s="15"/>
      <c r="AS297" s="15">
        <f t="shared" si="37"/>
        <v>0</v>
      </c>
      <c r="AT297" s="15"/>
      <c r="AU297" s="72"/>
      <c r="AV297" s="72"/>
      <c r="AW297" s="165"/>
      <c r="AX297" s="72">
        <f t="shared" si="34"/>
        <v>0</v>
      </c>
    </row>
    <row r="298" spans="1:50" ht="23.25" hidden="1">
      <c r="A298" s="18"/>
      <c r="B298" s="19">
        <v>-29</v>
      </c>
      <c r="C298" s="21"/>
      <c r="D298" s="20" t="s">
        <v>164</v>
      </c>
      <c r="E298" s="20"/>
      <c r="F298" s="20"/>
      <c r="G298" s="20"/>
      <c r="H298" s="20"/>
      <c r="I298" s="20"/>
      <c r="J298" s="20"/>
      <c r="K298" s="20"/>
      <c r="L298" s="14"/>
      <c r="M298" s="15"/>
      <c r="N298" s="15"/>
      <c r="O298" s="15"/>
      <c r="P298" s="15"/>
      <c r="Q298" s="15"/>
      <c r="R298" s="15">
        <v>50</v>
      </c>
      <c r="S298" s="15"/>
      <c r="T298" s="15"/>
      <c r="U298" s="15"/>
      <c r="V298" s="15">
        <v>2850</v>
      </c>
      <c r="W298" s="15"/>
      <c r="X298" s="15">
        <v>5000</v>
      </c>
      <c r="Y298" s="15"/>
      <c r="Z298" s="15">
        <v>14500</v>
      </c>
      <c r="AA298" s="15"/>
      <c r="AB298" s="15">
        <v>2000</v>
      </c>
      <c r="AC298" s="15"/>
      <c r="AD298" s="15">
        <v>1300</v>
      </c>
      <c r="AE298" s="15"/>
      <c r="AF298" s="15">
        <v>1000</v>
      </c>
      <c r="AG298" s="15"/>
      <c r="AH298" s="15"/>
      <c r="AI298" s="15"/>
      <c r="AJ298" s="15">
        <v>650</v>
      </c>
      <c r="AK298" s="15"/>
      <c r="AL298" s="15"/>
      <c r="AM298" s="16"/>
      <c r="AN298" s="16"/>
      <c r="AO298" s="16"/>
      <c r="AP298" s="128">
        <f t="shared" si="36"/>
        <v>0</v>
      </c>
      <c r="AQ298" s="15"/>
      <c r="AR298" s="15"/>
      <c r="AS298" s="15">
        <f t="shared" si="37"/>
        <v>0</v>
      </c>
      <c r="AT298" s="15"/>
      <c r="AU298" s="72"/>
      <c r="AV298" s="72"/>
      <c r="AW298" s="165"/>
      <c r="AX298" s="72">
        <f t="shared" si="34"/>
        <v>0</v>
      </c>
    </row>
    <row r="299" spans="1:50" ht="23.25" hidden="1">
      <c r="A299" s="18"/>
      <c r="B299" s="19">
        <v>-30</v>
      </c>
      <c r="C299" s="21"/>
      <c r="D299" s="20" t="s">
        <v>182</v>
      </c>
      <c r="E299" s="20"/>
      <c r="F299" s="20"/>
      <c r="G299" s="20"/>
      <c r="H299" s="20"/>
      <c r="I299" s="20"/>
      <c r="J299" s="20"/>
      <c r="K299" s="20"/>
      <c r="L299" s="14"/>
      <c r="M299" s="15"/>
      <c r="N299" s="15"/>
      <c r="O299" s="15"/>
      <c r="P299" s="15">
        <v>61200</v>
      </c>
      <c r="Q299" s="15"/>
      <c r="R299" s="15">
        <v>36400</v>
      </c>
      <c r="S299" s="15"/>
      <c r="T299" s="15">
        <v>32800</v>
      </c>
      <c r="U299" s="15"/>
      <c r="V299" s="15">
        <v>36000</v>
      </c>
      <c r="W299" s="15"/>
      <c r="X299" s="15">
        <v>35000</v>
      </c>
      <c r="Y299" s="15"/>
      <c r="Z299" s="15">
        <v>34200</v>
      </c>
      <c r="AA299" s="15"/>
      <c r="AB299" s="15">
        <v>34200</v>
      </c>
      <c r="AC299" s="15"/>
      <c r="AD299" s="15">
        <v>35000</v>
      </c>
      <c r="AE299" s="15"/>
      <c r="AF299" s="15">
        <v>34200</v>
      </c>
      <c r="AG299" s="15"/>
      <c r="AH299" s="15">
        <v>35000</v>
      </c>
      <c r="AI299" s="15"/>
      <c r="AJ299" s="15">
        <v>34200</v>
      </c>
      <c r="AK299" s="15"/>
      <c r="AL299" s="15">
        <v>4000</v>
      </c>
      <c r="AM299" s="16"/>
      <c r="AN299" s="16"/>
      <c r="AO299" s="16"/>
      <c r="AP299" s="128">
        <f t="shared" si="36"/>
        <v>0</v>
      </c>
      <c r="AQ299" s="15"/>
      <c r="AR299" s="15"/>
      <c r="AS299" s="15">
        <f t="shared" si="37"/>
        <v>0</v>
      </c>
      <c r="AT299" s="15"/>
      <c r="AU299" s="72"/>
      <c r="AV299" s="72"/>
      <c r="AW299" s="165"/>
      <c r="AX299" s="72">
        <f t="shared" si="34"/>
        <v>0</v>
      </c>
    </row>
    <row r="300" spans="1:50" ht="23.25" hidden="1">
      <c r="A300" s="18"/>
      <c r="B300" s="19">
        <v>-31</v>
      </c>
      <c r="C300" s="21"/>
      <c r="D300" s="20" t="s">
        <v>162</v>
      </c>
      <c r="E300" s="20"/>
      <c r="F300" s="20"/>
      <c r="G300" s="20"/>
      <c r="H300" s="20"/>
      <c r="I300" s="20"/>
      <c r="J300" s="20"/>
      <c r="K300" s="20"/>
      <c r="L300" s="14"/>
      <c r="M300" s="15"/>
      <c r="N300" s="15"/>
      <c r="O300" s="15"/>
      <c r="P300" s="15">
        <v>9000</v>
      </c>
      <c r="Q300" s="15"/>
      <c r="R300" s="15">
        <v>9000</v>
      </c>
      <c r="S300" s="15"/>
      <c r="T300" s="15">
        <v>9000</v>
      </c>
      <c r="U300" s="15"/>
      <c r="V300" s="15">
        <v>9000</v>
      </c>
      <c r="W300" s="15"/>
      <c r="X300" s="15">
        <v>9000</v>
      </c>
      <c r="Y300" s="15"/>
      <c r="Z300" s="15">
        <v>9000</v>
      </c>
      <c r="AA300" s="15"/>
      <c r="AB300" s="15">
        <v>9000</v>
      </c>
      <c r="AC300" s="15"/>
      <c r="AD300" s="15">
        <v>9000</v>
      </c>
      <c r="AE300" s="15"/>
      <c r="AF300" s="15">
        <v>9000</v>
      </c>
      <c r="AG300" s="15"/>
      <c r="AH300" s="15">
        <v>9000</v>
      </c>
      <c r="AI300" s="15"/>
      <c r="AJ300" s="15">
        <v>9000</v>
      </c>
      <c r="AK300" s="15"/>
      <c r="AL300" s="15">
        <v>9000</v>
      </c>
      <c r="AM300" s="16"/>
      <c r="AN300" s="16"/>
      <c r="AO300" s="16"/>
      <c r="AP300" s="128">
        <f t="shared" si="36"/>
        <v>0</v>
      </c>
      <c r="AQ300" s="15"/>
      <c r="AR300" s="15"/>
      <c r="AS300" s="15">
        <f t="shared" si="37"/>
        <v>0</v>
      </c>
      <c r="AT300" s="15"/>
      <c r="AU300" s="72"/>
      <c r="AV300" s="72"/>
      <c r="AW300" s="165"/>
      <c r="AX300" s="72">
        <f t="shared" si="34"/>
        <v>0</v>
      </c>
    </row>
    <row r="301" spans="1:50" ht="23.25" hidden="1">
      <c r="A301" s="18"/>
      <c r="B301" s="19"/>
      <c r="C301" s="21"/>
      <c r="D301" s="20"/>
      <c r="E301" s="20"/>
      <c r="F301" s="20"/>
      <c r="G301" s="20"/>
      <c r="H301" s="20"/>
      <c r="I301" s="20"/>
      <c r="J301" s="20"/>
      <c r="K301" s="20"/>
      <c r="L301" s="14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6"/>
      <c r="AN301" s="16"/>
      <c r="AO301" s="16"/>
      <c r="AP301" s="128">
        <f t="shared" si="36"/>
        <v>0</v>
      </c>
      <c r="AQ301" s="15"/>
      <c r="AR301" s="15"/>
      <c r="AS301" s="15">
        <f t="shared" si="37"/>
        <v>0</v>
      </c>
      <c r="AT301" s="15"/>
      <c r="AU301" s="72"/>
      <c r="AV301" s="72"/>
      <c r="AW301" s="165"/>
      <c r="AX301" s="72">
        <f t="shared" si="34"/>
        <v>0</v>
      </c>
    </row>
    <row r="302" spans="1:50" ht="23.25" hidden="1">
      <c r="A302" s="18"/>
      <c r="B302" s="19"/>
      <c r="C302" s="21"/>
      <c r="D302" s="20"/>
      <c r="E302" s="20"/>
      <c r="F302" s="20"/>
      <c r="G302" s="20"/>
      <c r="H302" s="20"/>
      <c r="I302" s="20"/>
      <c r="J302" s="20"/>
      <c r="K302" s="20"/>
      <c r="L302" s="14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6"/>
      <c r="AN302" s="16"/>
      <c r="AO302" s="16"/>
      <c r="AP302" s="128">
        <f t="shared" si="36"/>
        <v>0</v>
      </c>
      <c r="AQ302" s="15"/>
      <c r="AR302" s="15"/>
      <c r="AS302" s="15">
        <f t="shared" si="37"/>
        <v>0</v>
      </c>
      <c r="AT302" s="15"/>
      <c r="AU302" s="72"/>
      <c r="AV302" s="72"/>
      <c r="AW302" s="165"/>
      <c r="AX302" s="72">
        <f t="shared" si="34"/>
        <v>0</v>
      </c>
    </row>
    <row r="303" spans="1:50" ht="27.75" customHeight="1">
      <c r="A303" s="52" t="s">
        <v>17</v>
      </c>
      <c r="B303" s="53"/>
      <c r="C303" s="59"/>
      <c r="D303" s="54"/>
      <c r="E303" s="20"/>
      <c r="F303" s="20"/>
      <c r="G303" s="20"/>
      <c r="H303" s="20"/>
      <c r="I303" s="20"/>
      <c r="J303" s="20"/>
      <c r="K303" s="20"/>
      <c r="L303" s="14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6"/>
      <c r="AN303" s="16"/>
      <c r="AO303" s="16"/>
      <c r="AP303" s="128">
        <f t="shared" si="36"/>
        <v>0</v>
      </c>
      <c r="AQ303" s="15"/>
      <c r="AR303" s="15"/>
      <c r="AS303" s="15">
        <f t="shared" si="37"/>
        <v>0</v>
      </c>
      <c r="AT303" s="15"/>
      <c r="AU303" s="72"/>
      <c r="AV303" s="72"/>
      <c r="AW303" s="165"/>
      <c r="AX303" s="72">
        <f t="shared" si="34"/>
        <v>0</v>
      </c>
    </row>
    <row r="304" spans="1:50" ht="23.25" hidden="1">
      <c r="A304" s="18"/>
      <c r="B304" s="19">
        <v>-1</v>
      </c>
      <c r="C304" s="21"/>
      <c r="D304" s="20" t="s">
        <v>183</v>
      </c>
      <c r="E304" s="20"/>
      <c r="F304" s="20"/>
      <c r="G304" s="20"/>
      <c r="H304" s="20"/>
      <c r="I304" s="20"/>
      <c r="J304" s="20"/>
      <c r="K304" s="20"/>
      <c r="L304" s="14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6"/>
      <c r="AN304" s="16"/>
      <c r="AO304" s="16"/>
      <c r="AP304" s="128">
        <f t="shared" si="36"/>
        <v>0</v>
      </c>
      <c r="AQ304" s="15"/>
      <c r="AR304" s="15"/>
      <c r="AS304" s="15">
        <f t="shared" si="37"/>
        <v>0</v>
      </c>
      <c r="AT304" s="15"/>
      <c r="AU304" s="72"/>
      <c r="AV304" s="72"/>
      <c r="AW304" s="165"/>
      <c r="AX304" s="72">
        <f t="shared" si="34"/>
        <v>0</v>
      </c>
    </row>
    <row r="305" spans="1:50" ht="23.25" hidden="1">
      <c r="A305" s="18"/>
      <c r="B305" s="19">
        <v>-2</v>
      </c>
      <c r="C305" s="21"/>
      <c r="D305" s="20" t="s">
        <v>184</v>
      </c>
      <c r="E305" s="20"/>
      <c r="F305" s="20"/>
      <c r="G305" s="20"/>
      <c r="H305" s="20"/>
      <c r="I305" s="20"/>
      <c r="J305" s="20"/>
      <c r="K305" s="20"/>
      <c r="L305" s="14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6"/>
      <c r="AN305" s="16"/>
      <c r="AO305" s="16"/>
      <c r="AP305" s="128">
        <f t="shared" si="36"/>
        <v>0</v>
      </c>
      <c r="AQ305" s="15"/>
      <c r="AR305" s="15"/>
      <c r="AS305" s="15">
        <f t="shared" si="37"/>
        <v>0</v>
      </c>
      <c r="AT305" s="15"/>
      <c r="AU305" s="72"/>
      <c r="AV305" s="72"/>
      <c r="AW305" s="165"/>
      <c r="AX305" s="72">
        <f t="shared" si="34"/>
        <v>0</v>
      </c>
    </row>
    <row r="306" spans="1:50" ht="23.25">
      <c r="A306" s="18"/>
      <c r="B306" s="19">
        <v>-1</v>
      </c>
      <c r="C306" s="21"/>
      <c r="D306" s="20" t="s">
        <v>185</v>
      </c>
      <c r="E306" s="20"/>
      <c r="F306" s="20"/>
      <c r="G306" s="20"/>
      <c r="H306" s="20"/>
      <c r="I306" s="20"/>
      <c r="J306" s="20"/>
      <c r="K306" s="20"/>
      <c r="L306" s="14"/>
      <c r="M306" s="15"/>
      <c r="N306" s="15">
        <v>334892.54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>
        <v>12610.96</v>
      </c>
      <c r="AM306" s="16"/>
      <c r="AN306" s="16"/>
      <c r="AO306" s="16"/>
      <c r="AP306" s="128">
        <f t="shared" si="36"/>
        <v>334892.54</v>
      </c>
      <c r="AQ306" s="15">
        <v>334892.54</v>
      </c>
      <c r="AR306" s="15"/>
      <c r="AS306" s="15">
        <f t="shared" si="37"/>
        <v>0</v>
      </c>
      <c r="AT306" s="15">
        <v>170667.22</v>
      </c>
      <c r="AU306" s="72"/>
      <c r="AV306" s="72">
        <v>0.21</v>
      </c>
      <c r="AW306" s="165"/>
      <c r="AX306" s="72">
        <f t="shared" si="34"/>
        <v>170667.43</v>
      </c>
    </row>
    <row r="307" spans="1:50" ht="23.25">
      <c r="A307" s="18"/>
      <c r="B307" s="19">
        <v>-2</v>
      </c>
      <c r="C307" s="21"/>
      <c r="D307" s="20" t="s">
        <v>186</v>
      </c>
      <c r="E307" s="20"/>
      <c r="F307" s="20"/>
      <c r="G307" s="20"/>
      <c r="H307" s="20"/>
      <c r="I307" s="20"/>
      <c r="J307" s="20"/>
      <c r="K307" s="20"/>
      <c r="L307" s="14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6"/>
      <c r="AN307" s="16">
        <v>37081.74</v>
      </c>
      <c r="AO307" s="16"/>
      <c r="AP307" s="128">
        <f t="shared" si="36"/>
        <v>37081.74</v>
      </c>
      <c r="AQ307" s="15">
        <v>37081.74</v>
      </c>
      <c r="AR307" s="15"/>
      <c r="AS307" s="15">
        <f t="shared" si="37"/>
        <v>0</v>
      </c>
      <c r="AT307" s="15"/>
      <c r="AU307" s="72"/>
      <c r="AV307" s="72"/>
      <c r="AW307" s="165"/>
      <c r="AX307" s="72">
        <f t="shared" si="34"/>
        <v>0</v>
      </c>
    </row>
    <row r="308" spans="1:50" ht="23.25" hidden="1">
      <c r="A308" s="18"/>
      <c r="B308" s="19">
        <v>-5</v>
      </c>
      <c r="C308" s="21"/>
      <c r="D308" s="20" t="s">
        <v>187</v>
      </c>
      <c r="E308" s="20"/>
      <c r="F308" s="20"/>
      <c r="G308" s="20"/>
      <c r="H308" s="20"/>
      <c r="I308" s="20"/>
      <c r="J308" s="20"/>
      <c r="K308" s="20"/>
      <c r="L308" s="14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>
        <v>19085.19</v>
      </c>
      <c r="Y308" s="15"/>
      <c r="Z308" s="15">
        <v>12657.84</v>
      </c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>
        <f>24627.2+200.41</f>
        <v>24827.61</v>
      </c>
      <c r="AM308" s="16"/>
      <c r="AN308" s="16"/>
      <c r="AO308" s="16"/>
      <c r="AP308" s="128">
        <f t="shared" si="36"/>
        <v>0</v>
      </c>
      <c r="AQ308" s="15"/>
      <c r="AR308" s="15">
        <f aca="true" t="shared" si="38" ref="AR308:AR325">SUM(AP308:AQ308)</f>
        <v>0</v>
      </c>
      <c r="AS308" s="15">
        <f t="shared" si="37"/>
        <v>0</v>
      </c>
      <c r="AT308" s="15"/>
      <c r="AU308" s="72"/>
      <c r="AV308" s="72"/>
      <c r="AW308" s="165"/>
      <c r="AX308" s="72">
        <f t="shared" si="34"/>
        <v>0</v>
      </c>
    </row>
    <row r="309" spans="1:50" ht="23.25" hidden="1">
      <c r="A309" s="18"/>
      <c r="B309" s="19">
        <v>-6</v>
      </c>
      <c r="C309" s="21"/>
      <c r="D309" s="20"/>
      <c r="E309" s="20"/>
      <c r="F309" s="20"/>
      <c r="G309" s="20"/>
      <c r="H309" s="20"/>
      <c r="I309" s="20"/>
      <c r="J309" s="20"/>
      <c r="K309" s="20"/>
      <c r="L309" s="14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6"/>
      <c r="AN309" s="16"/>
      <c r="AO309" s="16"/>
      <c r="AP309" s="128">
        <f t="shared" si="36"/>
        <v>0</v>
      </c>
      <c r="AQ309" s="15"/>
      <c r="AR309" s="15">
        <f t="shared" si="38"/>
        <v>0</v>
      </c>
      <c r="AS309" s="15">
        <f t="shared" si="37"/>
        <v>0</v>
      </c>
      <c r="AT309" s="15"/>
      <c r="AU309" s="72"/>
      <c r="AV309" s="72"/>
      <c r="AW309" s="165"/>
      <c r="AX309" s="72">
        <f t="shared" si="34"/>
        <v>0</v>
      </c>
    </row>
    <row r="310" spans="1:50" ht="23.25" hidden="1">
      <c r="A310" s="18"/>
      <c r="B310" s="19">
        <v>-7</v>
      </c>
      <c r="C310" s="21"/>
      <c r="D310" s="20"/>
      <c r="E310" s="20"/>
      <c r="F310" s="20"/>
      <c r="G310" s="20"/>
      <c r="H310" s="20"/>
      <c r="I310" s="20"/>
      <c r="J310" s="20"/>
      <c r="K310" s="20"/>
      <c r="L310" s="14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6"/>
      <c r="AN310" s="16"/>
      <c r="AO310" s="16"/>
      <c r="AP310" s="128">
        <f t="shared" si="36"/>
        <v>0</v>
      </c>
      <c r="AQ310" s="15"/>
      <c r="AR310" s="15">
        <f t="shared" si="38"/>
        <v>0</v>
      </c>
      <c r="AS310" s="15">
        <f t="shared" si="37"/>
        <v>0</v>
      </c>
      <c r="AT310" s="15"/>
      <c r="AU310" s="72"/>
      <c r="AV310" s="72"/>
      <c r="AW310" s="165"/>
      <c r="AX310" s="72">
        <f t="shared" si="34"/>
        <v>0</v>
      </c>
    </row>
    <row r="311" spans="1:50" ht="23.25" hidden="1">
      <c r="A311" s="18"/>
      <c r="B311" s="19">
        <v>-8</v>
      </c>
      <c r="C311" s="21"/>
      <c r="D311" s="20"/>
      <c r="E311" s="20"/>
      <c r="F311" s="20"/>
      <c r="G311" s="20"/>
      <c r="H311" s="20"/>
      <c r="I311" s="20"/>
      <c r="J311" s="20"/>
      <c r="K311" s="20"/>
      <c r="L311" s="14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6"/>
      <c r="AN311" s="16"/>
      <c r="AO311" s="16"/>
      <c r="AP311" s="128">
        <f t="shared" si="36"/>
        <v>0</v>
      </c>
      <c r="AQ311" s="15"/>
      <c r="AR311" s="15">
        <f t="shared" si="38"/>
        <v>0</v>
      </c>
      <c r="AS311" s="15">
        <f t="shared" si="37"/>
        <v>0</v>
      </c>
      <c r="AT311" s="15"/>
      <c r="AU311" s="72"/>
      <c r="AV311" s="72"/>
      <c r="AW311" s="165"/>
      <c r="AX311" s="72">
        <f t="shared" si="34"/>
        <v>0</v>
      </c>
    </row>
    <row r="312" spans="1:50" ht="23.25" hidden="1">
      <c r="A312" s="18"/>
      <c r="B312" s="19">
        <v>-9</v>
      </c>
      <c r="C312" s="21"/>
      <c r="D312" s="20"/>
      <c r="E312" s="20"/>
      <c r="F312" s="20"/>
      <c r="G312" s="20"/>
      <c r="H312" s="20"/>
      <c r="I312" s="20"/>
      <c r="J312" s="20"/>
      <c r="K312" s="20"/>
      <c r="L312" s="14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6"/>
      <c r="AN312" s="16"/>
      <c r="AO312" s="16"/>
      <c r="AP312" s="128">
        <f t="shared" si="36"/>
        <v>0</v>
      </c>
      <c r="AQ312" s="15"/>
      <c r="AR312" s="15">
        <f t="shared" si="38"/>
        <v>0</v>
      </c>
      <c r="AS312" s="15">
        <f t="shared" si="37"/>
        <v>0</v>
      </c>
      <c r="AT312" s="15"/>
      <c r="AU312" s="72"/>
      <c r="AV312" s="72"/>
      <c r="AW312" s="165"/>
      <c r="AX312" s="72">
        <f t="shared" si="34"/>
        <v>0</v>
      </c>
    </row>
    <row r="313" spans="1:50" ht="23.25" hidden="1">
      <c r="A313" s="18"/>
      <c r="B313" s="19">
        <v>-10</v>
      </c>
      <c r="C313" s="21"/>
      <c r="D313" s="20"/>
      <c r="E313" s="20"/>
      <c r="F313" s="20"/>
      <c r="G313" s="20"/>
      <c r="H313" s="20"/>
      <c r="I313" s="20"/>
      <c r="J313" s="20"/>
      <c r="K313" s="20"/>
      <c r="L313" s="14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6"/>
      <c r="AN313" s="16"/>
      <c r="AO313" s="16"/>
      <c r="AP313" s="128">
        <f t="shared" si="36"/>
        <v>0</v>
      </c>
      <c r="AQ313" s="15"/>
      <c r="AR313" s="15">
        <f t="shared" si="38"/>
        <v>0</v>
      </c>
      <c r="AS313" s="15">
        <f t="shared" si="37"/>
        <v>0</v>
      </c>
      <c r="AT313" s="15"/>
      <c r="AU313" s="72"/>
      <c r="AV313" s="72"/>
      <c r="AW313" s="165"/>
      <c r="AX313" s="72">
        <f t="shared" si="34"/>
        <v>0</v>
      </c>
    </row>
    <row r="314" spans="1:50" ht="23.25" hidden="1">
      <c r="A314" s="18"/>
      <c r="B314" s="19"/>
      <c r="C314" s="21"/>
      <c r="D314" s="20"/>
      <c r="E314" s="20"/>
      <c r="F314" s="20"/>
      <c r="G314" s="20"/>
      <c r="H314" s="20"/>
      <c r="I314" s="20"/>
      <c r="J314" s="20"/>
      <c r="K314" s="20"/>
      <c r="L314" s="14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6"/>
      <c r="AN314" s="16"/>
      <c r="AO314" s="16"/>
      <c r="AP314" s="128">
        <f t="shared" si="36"/>
        <v>0</v>
      </c>
      <c r="AQ314" s="15"/>
      <c r="AR314" s="15">
        <f t="shared" si="38"/>
        <v>0</v>
      </c>
      <c r="AS314" s="15">
        <f t="shared" si="37"/>
        <v>0</v>
      </c>
      <c r="AT314" s="15"/>
      <c r="AU314" s="72"/>
      <c r="AV314" s="72"/>
      <c r="AW314" s="165"/>
      <c r="AX314" s="72">
        <f t="shared" si="34"/>
        <v>0</v>
      </c>
    </row>
    <row r="315" spans="1:50" ht="23.25" hidden="1">
      <c r="A315" s="52" t="s">
        <v>188</v>
      </c>
      <c r="B315" s="53"/>
      <c r="C315" s="54"/>
      <c r="D315" s="54"/>
      <c r="E315" s="20"/>
      <c r="F315" s="20"/>
      <c r="G315" s="20"/>
      <c r="H315" s="20"/>
      <c r="I315" s="20"/>
      <c r="J315" s="20"/>
      <c r="K315" s="20"/>
      <c r="L315" s="14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6"/>
      <c r="AN315" s="16"/>
      <c r="AO315" s="16"/>
      <c r="AP315" s="128">
        <f t="shared" si="36"/>
        <v>0</v>
      </c>
      <c r="AQ315" s="15"/>
      <c r="AR315" s="15">
        <f t="shared" si="38"/>
        <v>0</v>
      </c>
      <c r="AS315" s="15">
        <f t="shared" si="37"/>
        <v>0</v>
      </c>
      <c r="AT315" s="15"/>
      <c r="AU315" s="72"/>
      <c r="AV315" s="72"/>
      <c r="AW315" s="165"/>
      <c r="AX315" s="72">
        <f t="shared" si="34"/>
        <v>0</v>
      </c>
    </row>
    <row r="316" spans="1:50" ht="23.25" hidden="1">
      <c r="A316" s="18"/>
      <c r="B316" s="19">
        <v>-1</v>
      </c>
      <c r="C316" s="21"/>
      <c r="D316" s="20" t="s">
        <v>189</v>
      </c>
      <c r="E316" s="20"/>
      <c r="F316" s="20"/>
      <c r="G316" s="20"/>
      <c r="H316" s="20"/>
      <c r="I316" s="20"/>
      <c r="J316" s="20"/>
      <c r="K316" s="20"/>
      <c r="L316" s="14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6"/>
      <c r="AN316" s="16"/>
      <c r="AO316" s="16"/>
      <c r="AP316" s="128">
        <f aca="true" t="shared" si="39" ref="AP316:AP326">N316+AN316-AM316</f>
        <v>0</v>
      </c>
      <c r="AQ316" s="15"/>
      <c r="AR316" s="15">
        <f t="shared" si="38"/>
        <v>0</v>
      </c>
      <c r="AS316" s="15">
        <f t="shared" si="37"/>
        <v>0</v>
      </c>
      <c r="AT316" s="15"/>
      <c r="AU316" s="72"/>
      <c r="AV316" s="72"/>
      <c r="AW316" s="165"/>
      <c r="AX316" s="72">
        <f t="shared" si="34"/>
        <v>0</v>
      </c>
    </row>
    <row r="317" spans="1:50" ht="23.25" hidden="1">
      <c r="A317" s="18"/>
      <c r="B317" s="19">
        <v>-2</v>
      </c>
      <c r="C317" s="21"/>
      <c r="D317" s="20" t="s">
        <v>190</v>
      </c>
      <c r="E317" s="20"/>
      <c r="F317" s="20"/>
      <c r="G317" s="20"/>
      <c r="H317" s="20"/>
      <c r="I317" s="20"/>
      <c r="J317" s="20"/>
      <c r="K317" s="20"/>
      <c r="L317" s="14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6"/>
      <c r="AN317" s="16"/>
      <c r="AO317" s="16"/>
      <c r="AP317" s="128">
        <f t="shared" si="39"/>
        <v>0</v>
      </c>
      <c r="AQ317" s="15"/>
      <c r="AR317" s="15">
        <f t="shared" si="38"/>
        <v>0</v>
      </c>
      <c r="AS317" s="15">
        <f aca="true" t="shared" si="40" ref="AS317:AS348">AP317-AQ317</f>
        <v>0</v>
      </c>
      <c r="AT317" s="15"/>
      <c r="AU317" s="72"/>
      <c r="AV317" s="72"/>
      <c r="AW317" s="165"/>
      <c r="AX317" s="72">
        <f t="shared" si="34"/>
        <v>0</v>
      </c>
    </row>
    <row r="318" spans="1:50" ht="23.25" hidden="1">
      <c r="A318" s="18"/>
      <c r="B318" s="19">
        <v>-3</v>
      </c>
      <c r="C318" s="21"/>
      <c r="D318" s="20" t="s">
        <v>191</v>
      </c>
      <c r="E318" s="20"/>
      <c r="F318" s="20"/>
      <c r="G318" s="20"/>
      <c r="H318" s="20"/>
      <c r="I318" s="20"/>
      <c r="J318" s="20"/>
      <c r="K318" s="20"/>
      <c r="L318" s="14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6"/>
      <c r="AN318" s="16"/>
      <c r="AO318" s="16"/>
      <c r="AP318" s="128">
        <f t="shared" si="39"/>
        <v>0</v>
      </c>
      <c r="AQ318" s="15"/>
      <c r="AR318" s="15">
        <f t="shared" si="38"/>
        <v>0</v>
      </c>
      <c r="AS318" s="15">
        <f t="shared" si="40"/>
        <v>0</v>
      </c>
      <c r="AT318" s="15"/>
      <c r="AU318" s="72"/>
      <c r="AV318" s="72"/>
      <c r="AW318" s="165"/>
      <c r="AX318" s="72">
        <f aca="true" t="shared" si="41" ref="AX318:AX381">AT318+AV318-AU318</f>
        <v>0</v>
      </c>
    </row>
    <row r="319" spans="1:50" ht="23.25" hidden="1">
      <c r="A319" s="18"/>
      <c r="B319" s="19">
        <v>-4</v>
      </c>
      <c r="C319" s="21"/>
      <c r="D319" s="20"/>
      <c r="E319" s="20"/>
      <c r="F319" s="20"/>
      <c r="G319" s="20"/>
      <c r="H319" s="20"/>
      <c r="I319" s="20"/>
      <c r="J319" s="20"/>
      <c r="K319" s="20"/>
      <c r="L319" s="14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6"/>
      <c r="AN319" s="16"/>
      <c r="AO319" s="16"/>
      <c r="AP319" s="128">
        <f t="shared" si="39"/>
        <v>0</v>
      </c>
      <c r="AQ319" s="15"/>
      <c r="AR319" s="15">
        <f t="shared" si="38"/>
        <v>0</v>
      </c>
      <c r="AS319" s="15">
        <f t="shared" si="40"/>
        <v>0</v>
      </c>
      <c r="AT319" s="15"/>
      <c r="AU319" s="72"/>
      <c r="AV319" s="72"/>
      <c r="AW319" s="165"/>
      <c r="AX319" s="72">
        <f t="shared" si="41"/>
        <v>0</v>
      </c>
    </row>
    <row r="320" spans="1:50" ht="23.25" hidden="1">
      <c r="A320" s="18"/>
      <c r="B320" s="19">
        <v>-5</v>
      </c>
      <c r="C320" s="21"/>
      <c r="D320" s="20"/>
      <c r="E320" s="20"/>
      <c r="F320" s="20"/>
      <c r="G320" s="20"/>
      <c r="H320" s="20"/>
      <c r="I320" s="20"/>
      <c r="J320" s="20"/>
      <c r="K320" s="20"/>
      <c r="L320" s="14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6"/>
      <c r="AN320" s="16"/>
      <c r="AO320" s="16"/>
      <c r="AP320" s="128">
        <f t="shared" si="39"/>
        <v>0</v>
      </c>
      <c r="AQ320" s="15"/>
      <c r="AR320" s="15">
        <f t="shared" si="38"/>
        <v>0</v>
      </c>
      <c r="AS320" s="15">
        <f t="shared" si="40"/>
        <v>0</v>
      </c>
      <c r="AT320" s="15"/>
      <c r="AU320" s="72"/>
      <c r="AV320" s="72"/>
      <c r="AW320" s="165"/>
      <c r="AX320" s="72">
        <f t="shared" si="41"/>
        <v>0</v>
      </c>
    </row>
    <row r="321" spans="1:50" ht="23.25" hidden="1">
      <c r="A321" s="18"/>
      <c r="B321" s="19">
        <v>-6</v>
      </c>
      <c r="C321" s="21"/>
      <c r="D321" s="20"/>
      <c r="E321" s="20"/>
      <c r="F321" s="20"/>
      <c r="G321" s="20"/>
      <c r="H321" s="20"/>
      <c r="I321" s="20"/>
      <c r="J321" s="20"/>
      <c r="K321" s="20"/>
      <c r="L321" s="14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6"/>
      <c r="AN321" s="16"/>
      <c r="AO321" s="16"/>
      <c r="AP321" s="128">
        <f t="shared" si="39"/>
        <v>0</v>
      </c>
      <c r="AQ321" s="15"/>
      <c r="AR321" s="15">
        <f t="shared" si="38"/>
        <v>0</v>
      </c>
      <c r="AS321" s="15">
        <f t="shared" si="40"/>
        <v>0</v>
      </c>
      <c r="AT321" s="15"/>
      <c r="AU321" s="72"/>
      <c r="AV321" s="72"/>
      <c r="AW321" s="165"/>
      <c r="AX321" s="72">
        <f t="shared" si="41"/>
        <v>0</v>
      </c>
    </row>
    <row r="322" spans="1:50" ht="23.25" hidden="1">
      <c r="A322" s="18"/>
      <c r="B322" s="19">
        <v>-7</v>
      </c>
      <c r="C322" s="21"/>
      <c r="D322" s="20"/>
      <c r="E322" s="20"/>
      <c r="F322" s="20"/>
      <c r="G322" s="20"/>
      <c r="H322" s="20"/>
      <c r="I322" s="20"/>
      <c r="J322" s="20"/>
      <c r="K322" s="20"/>
      <c r="L322" s="14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6"/>
      <c r="AN322" s="16"/>
      <c r="AO322" s="16"/>
      <c r="AP322" s="128">
        <f t="shared" si="39"/>
        <v>0</v>
      </c>
      <c r="AQ322" s="15"/>
      <c r="AR322" s="15">
        <f t="shared" si="38"/>
        <v>0</v>
      </c>
      <c r="AS322" s="15">
        <f t="shared" si="40"/>
        <v>0</v>
      </c>
      <c r="AT322" s="15"/>
      <c r="AU322" s="72"/>
      <c r="AV322" s="72"/>
      <c r="AW322" s="165"/>
      <c r="AX322" s="72">
        <f t="shared" si="41"/>
        <v>0</v>
      </c>
    </row>
    <row r="323" spans="1:50" ht="23.25" hidden="1">
      <c r="A323" s="18"/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14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6"/>
      <c r="AN323" s="16"/>
      <c r="AO323" s="16"/>
      <c r="AP323" s="128">
        <f t="shared" si="39"/>
        <v>0</v>
      </c>
      <c r="AQ323" s="15"/>
      <c r="AR323" s="15">
        <f t="shared" si="38"/>
        <v>0</v>
      </c>
      <c r="AS323" s="15">
        <f t="shared" si="40"/>
        <v>0</v>
      </c>
      <c r="AT323" s="15"/>
      <c r="AU323" s="72"/>
      <c r="AV323" s="72"/>
      <c r="AW323" s="165"/>
      <c r="AX323" s="72">
        <f t="shared" si="41"/>
        <v>0</v>
      </c>
    </row>
    <row r="324" spans="1:50" ht="27" customHeight="1">
      <c r="A324" s="52" t="s">
        <v>192</v>
      </c>
      <c r="B324" s="53"/>
      <c r="C324" s="54"/>
      <c r="D324" s="54"/>
      <c r="E324" s="20"/>
      <c r="F324" s="20"/>
      <c r="G324" s="20"/>
      <c r="H324" s="20"/>
      <c r="I324" s="20"/>
      <c r="J324" s="20"/>
      <c r="K324" s="20"/>
      <c r="L324" s="14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6"/>
      <c r="AN324" s="16"/>
      <c r="AO324" s="16"/>
      <c r="AP324" s="128">
        <f t="shared" si="39"/>
        <v>0</v>
      </c>
      <c r="AQ324" s="15"/>
      <c r="AR324" s="15">
        <f t="shared" si="38"/>
        <v>0</v>
      </c>
      <c r="AS324" s="15">
        <f t="shared" si="40"/>
        <v>0</v>
      </c>
      <c r="AT324" s="15"/>
      <c r="AU324" s="72"/>
      <c r="AV324" s="72"/>
      <c r="AW324" s="165"/>
      <c r="AX324" s="72">
        <f t="shared" si="41"/>
        <v>0</v>
      </c>
    </row>
    <row r="325" spans="1:50" ht="23.25" hidden="1">
      <c r="A325" s="18"/>
      <c r="B325" s="19">
        <v>-1</v>
      </c>
      <c r="C325" s="21"/>
      <c r="D325" s="20" t="s">
        <v>193</v>
      </c>
      <c r="E325" s="20"/>
      <c r="F325" s="20"/>
      <c r="G325" s="20"/>
      <c r="H325" s="20"/>
      <c r="I325" s="20"/>
      <c r="J325" s="20"/>
      <c r="K325" s="20"/>
      <c r="L325" s="14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6"/>
      <c r="AN325" s="16"/>
      <c r="AO325" s="16"/>
      <c r="AP325" s="128">
        <f t="shared" si="39"/>
        <v>0</v>
      </c>
      <c r="AQ325" s="15"/>
      <c r="AR325" s="15">
        <f t="shared" si="38"/>
        <v>0</v>
      </c>
      <c r="AS325" s="15">
        <f t="shared" si="40"/>
        <v>0</v>
      </c>
      <c r="AT325" s="15"/>
      <c r="AU325" s="72"/>
      <c r="AV325" s="72"/>
      <c r="AW325" s="165"/>
      <c r="AX325" s="72">
        <f t="shared" si="41"/>
        <v>0</v>
      </c>
    </row>
    <row r="326" spans="1:50" ht="23.25">
      <c r="A326" s="18"/>
      <c r="B326" s="19">
        <v>-1</v>
      </c>
      <c r="C326" s="21"/>
      <c r="D326" s="20" t="s">
        <v>194</v>
      </c>
      <c r="E326" s="20"/>
      <c r="F326" s="20"/>
      <c r="G326" s="20"/>
      <c r="H326" s="20"/>
      <c r="I326" s="20"/>
      <c r="J326" s="20"/>
      <c r="K326" s="20"/>
      <c r="L326" s="14"/>
      <c r="M326" s="15"/>
      <c r="N326" s="15">
        <v>192000</v>
      </c>
      <c r="O326" s="15"/>
      <c r="P326" s="15"/>
      <c r="Q326" s="15"/>
      <c r="R326" s="15"/>
      <c r="S326" s="15"/>
      <c r="T326" s="15">
        <v>2000</v>
      </c>
      <c r="U326" s="15"/>
      <c r="V326" s="15">
        <v>9500</v>
      </c>
      <c r="W326" s="15"/>
      <c r="X326" s="15">
        <v>35500</v>
      </c>
      <c r="Y326" s="15"/>
      <c r="Z326" s="15">
        <v>13000</v>
      </c>
      <c r="AA326" s="15"/>
      <c r="AB326" s="15">
        <v>8000</v>
      </c>
      <c r="AC326" s="15"/>
      <c r="AD326" s="15">
        <v>9000</v>
      </c>
      <c r="AE326" s="15"/>
      <c r="AF326" s="15">
        <v>9000</v>
      </c>
      <c r="AG326" s="15"/>
      <c r="AH326" s="15"/>
      <c r="AI326" s="15"/>
      <c r="AJ326" s="15"/>
      <c r="AK326" s="15"/>
      <c r="AL326" s="15">
        <v>16500</v>
      </c>
      <c r="AM326" s="16"/>
      <c r="AN326" s="16">
        <v>6000</v>
      </c>
      <c r="AO326" s="16"/>
      <c r="AP326" s="128">
        <f t="shared" si="39"/>
        <v>198000</v>
      </c>
      <c r="AQ326" s="15">
        <v>198000</v>
      </c>
      <c r="AR326" s="15"/>
      <c r="AS326" s="15">
        <f t="shared" si="40"/>
        <v>0</v>
      </c>
      <c r="AT326" s="15"/>
      <c r="AU326" s="72"/>
      <c r="AV326" s="72"/>
      <c r="AW326" s="165"/>
      <c r="AX326" s="72">
        <f t="shared" si="41"/>
        <v>0</v>
      </c>
    </row>
    <row r="327" spans="1:50" ht="23.25">
      <c r="A327" s="18"/>
      <c r="B327" s="19">
        <v>-2</v>
      </c>
      <c r="C327" s="21"/>
      <c r="D327" s="20" t="s">
        <v>195</v>
      </c>
      <c r="E327" s="20"/>
      <c r="F327" s="20"/>
      <c r="G327" s="20"/>
      <c r="H327" s="20"/>
      <c r="I327" s="20"/>
      <c r="J327" s="20"/>
      <c r="K327" s="20"/>
      <c r="L327" s="14"/>
      <c r="M327" s="15"/>
      <c r="N327" s="15">
        <v>358</v>
      </c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6"/>
      <c r="AN327" s="16">
        <v>32</v>
      </c>
      <c r="AO327" s="16"/>
      <c r="AP327" s="128">
        <f>SUM(N327)-AM327+AN327</f>
        <v>390</v>
      </c>
      <c r="AQ327" s="15">
        <v>390</v>
      </c>
      <c r="AR327" s="15"/>
      <c r="AS327" s="15">
        <f t="shared" si="40"/>
        <v>0</v>
      </c>
      <c r="AT327" s="15">
        <v>104</v>
      </c>
      <c r="AU327" s="72"/>
      <c r="AV327" s="72">
        <v>28</v>
      </c>
      <c r="AW327" s="165"/>
      <c r="AX327" s="72">
        <f t="shared" si="41"/>
        <v>132</v>
      </c>
    </row>
    <row r="328" spans="1:50" ht="23.25" hidden="1">
      <c r="A328" s="18"/>
      <c r="B328" s="19">
        <v>-3</v>
      </c>
      <c r="C328" s="21"/>
      <c r="D328" s="20" t="s">
        <v>196</v>
      </c>
      <c r="E328" s="20"/>
      <c r="F328" s="20"/>
      <c r="G328" s="20"/>
      <c r="H328" s="20"/>
      <c r="I328" s="20"/>
      <c r="J328" s="20"/>
      <c r="K328" s="20"/>
      <c r="L328" s="14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6"/>
      <c r="AN328" s="16"/>
      <c r="AO328" s="16"/>
      <c r="AP328" s="128">
        <f aca="true" t="shared" si="42" ref="AP328:AP359">N328+AN328-AM328</f>
        <v>0</v>
      </c>
      <c r="AQ328" s="15"/>
      <c r="AR328" s="15"/>
      <c r="AS328" s="15">
        <f t="shared" si="40"/>
        <v>0</v>
      </c>
      <c r="AT328" s="15"/>
      <c r="AU328" s="72"/>
      <c r="AV328" s="72"/>
      <c r="AW328" s="165"/>
      <c r="AX328" s="72">
        <f t="shared" si="41"/>
        <v>0</v>
      </c>
    </row>
    <row r="329" spans="1:50" ht="23.25" hidden="1">
      <c r="A329" s="18"/>
      <c r="B329" s="19">
        <v>-5</v>
      </c>
      <c r="C329" s="21"/>
      <c r="D329" s="20" t="s">
        <v>197</v>
      </c>
      <c r="E329" s="20"/>
      <c r="F329" s="20"/>
      <c r="G329" s="20"/>
      <c r="H329" s="20"/>
      <c r="I329" s="20"/>
      <c r="J329" s="20"/>
      <c r="K329" s="20"/>
      <c r="L329" s="14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6"/>
      <c r="AN329" s="16"/>
      <c r="AO329" s="16"/>
      <c r="AP329" s="128">
        <f t="shared" si="42"/>
        <v>0</v>
      </c>
      <c r="AQ329" s="15"/>
      <c r="AR329" s="15"/>
      <c r="AS329" s="15">
        <f t="shared" si="40"/>
        <v>0</v>
      </c>
      <c r="AT329" s="15"/>
      <c r="AU329" s="72"/>
      <c r="AV329" s="72"/>
      <c r="AW329" s="165"/>
      <c r="AX329" s="72">
        <f t="shared" si="41"/>
        <v>0</v>
      </c>
    </row>
    <row r="330" spans="1:50" ht="23.25" hidden="1">
      <c r="A330" s="18"/>
      <c r="B330" s="19">
        <v>-6</v>
      </c>
      <c r="C330" s="21"/>
      <c r="D330" s="20" t="s">
        <v>198</v>
      </c>
      <c r="E330" s="20"/>
      <c r="F330" s="20"/>
      <c r="G330" s="20"/>
      <c r="H330" s="20"/>
      <c r="I330" s="20"/>
      <c r="J330" s="20"/>
      <c r="K330" s="20"/>
      <c r="L330" s="14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6"/>
      <c r="AN330" s="16"/>
      <c r="AO330" s="16"/>
      <c r="AP330" s="128">
        <f t="shared" si="42"/>
        <v>0</v>
      </c>
      <c r="AQ330" s="15"/>
      <c r="AR330" s="15"/>
      <c r="AS330" s="15">
        <f t="shared" si="40"/>
        <v>0</v>
      </c>
      <c r="AT330" s="15"/>
      <c r="AU330" s="72"/>
      <c r="AV330" s="72"/>
      <c r="AW330" s="165"/>
      <c r="AX330" s="72">
        <f t="shared" si="41"/>
        <v>0</v>
      </c>
    </row>
    <row r="331" spans="1:50" ht="23.25" hidden="1">
      <c r="A331" s="18"/>
      <c r="B331" s="19">
        <v>-4</v>
      </c>
      <c r="C331" s="21"/>
      <c r="D331" s="20" t="s">
        <v>199</v>
      </c>
      <c r="E331" s="20"/>
      <c r="F331" s="20"/>
      <c r="G331" s="20"/>
      <c r="H331" s="20"/>
      <c r="I331" s="20"/>
      <c r="J331" s="20"/>
      <c r="K331" s="20"/>
      <c r="L331" s="14"/>
      <c r="M331" s="15"/>
      <c r="N331" s="15"/>
      <c r="O331" s="15"/>
      <c r="P331" s="15">
        <v>1740</v>
      </c>
      <c r="Q331" s="15"/>
      <c r="R331" s="15">
        <f>230+0.9</f>
        <v>230.9</v>
      </c>
      <c r="S331" s="15"/>
      <c r="T331" s="15">
        <v>80</v>
      </c>
      <c r="U331" s="15"/>
      <c r="V331" s="15">
        <v>175</v>
      </c>
      <c r="W331" s="15"/>
      <c r="X331" s="15">
        <v>1160</v>
      </c>
      <c r="Y331" s="15"/>
      <c r="Z331" s="15">
        <v>1110</v>
      </c>
      <c r="AA331" s="15"/>
      <c r="AB331" s="15">
        <v>1710</v>
      </c>
      <c r="AC331" s="15"/>
      <c r="AD331" s="15">
        <v>240</v>
      </c>
      <c r="AE331" s="15"/>
      <c r="AF331" s="15">
        <v>315</v>
      </c>
      <c r="AG331" s="15"/>
      <c r="AH331" s="15">
        <f>1440-940</f>
        <v>500</v>
      </c>
      <c r="AI331" s="15"/>
      <c r="AJ331" s="15">
        <v>1050</v>
      </c>
      <c r="AK331" s="15"/>
      <c r="AL331" s="15">
        <f>2030+4780</f>
        <v>6810</v>
      </c>
      <c r="AM331" s="16"/>
      <c r="AN331" s="16"/>
      <c r="AO331" s="16"/>
      <c r="AP331" s="128">
        <f t="shared" si="42"/>
        <v>0</v>
      </c>
      <c r="AQ331" s="15"/>
      <c r="AR331" s="15"/>
      <c r="AS331" s="15">
        <f t="shared" si="40"/>
        <v>0</v>
      </c>
      <c r="AT331" s="15"/>
      <c r="AU331" s="72"/>
      <c r="AV331" s="72"/>
      <c r="AW331" s="165"/>
      <c r="AX331" s="72">
        <f t="shared" si="41"/>
        <v>0</v>
      </c>
    </row>
    <row r="332" spans="1:50" ht="23.25">
      <c r="A332" s="18"/>
      <c r="B332" s="19">
        <v>-3</v>
      </c>
      <c r="C332" s="21"/>
      <c r="D332" s="20" t="s">
        <v>200</v>
      </c>
      <c r="E332" s="20"/>
      <c r="F332" s="20"/>
      <c r="G332" s="20"/>
      <c r="H332" s="20"/>
      <c r="I332" s="20"/>
      <c r="J332" s="20"/>
      <c r="K332" s="20"/>
      <c r="L332" s="14"/>
      <c r="M332" s="15"/>
      <c r="N332" s="15">
        <v>59715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6"/>
      <c r="AN332" s="16">
        <v>540</v>
      </c>
      <c r="AO332" s="16"/>
      <c r="AP332" s="128">
        <f t="shared" si="42"/>
        <v>60255</v>
      </c>
      <c r="AQ332" s="15">
        <v>60255</v>
      </c>
      <c r="AR332" s="15"/>
      <c r="AS332" s="15">
        <f t="shared" si="40"/>
        <v>0</v>
      </c>
      <c r="AT332" s="15">
        <v>2320</v>
      </c>
      <c r="AU332" s="72"/>
      <c r="AV332" s="72">
        <v>555</v>
      </c>
      <c r="AW332" s="165"/>
      <c r="AX332" s="72">
        <f t="shared" si="41"/>
        <v>2875</v>
      </c>
    </row>
    <row r="333" spans="1:50" ht="22.5" customHeight="1" hidden="1">
      <c r="A333" s="52" t="s">
        <v>201</v>
      </c>
      <c r="B333" s="53"/>
      <c r="C333" s="54"/>
      <c r="D333" s="54"/>
      <c r="E333" s="20"/>
      <c r="F333" s="20"/>
      <c r="G333" s="20"/>
      <c r="H333" s="20"/>
      <c r="I333" s="20"/>
      <c r="J333" s="20"/>
      <c r="K333" s="20"/>
      <c r="L333" s="14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6"/>
      <c r="AN333" s="16"/>
      <c r="AO333" s="16"/>
      <c r="AP333" s="128">
        <f t="shared" si="42"/>
        <v>0</v>
      </c>
      <c r="AQ333" s="15"/>
      <c r="AR333" s="15"/>
      <c r="AS333" s="15">
        <f t="shared" si="40"/>
        <v>0</v>
      </c>
      <c r="AT333" s="15"/>
      <c r="AU333" s="72"/>
      <c r="AV333" s="72"/>
      <c r="AW333" s="165"/>
      <c r="AX333" s="72">
        <f t="shared" si="41"/>
        <v>0</v>
      </c>
    </row>
    <row r="334" spans="1:50" ht="23.25" hidden="1">
      <c r="A334" s="18"/>
      <c r="B334" s="19">
        <v>-1</v>
      </c>
      <c r="C334" s="21"/>
      <c r="D334" s="20" t="s">
        <v>202</v>
      </c>
      <c r="E334" s="20"/>
      <c r="F334" s="20"/>
      <c r="G334" s="20"/>
      <c r="H334" s="20"/>
      <c r="I334" s="20"/>
      <c r="J334" s="20"/>
      <c r="K334" s="20"/>
      <c r="L334" s="14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6"/>
      <c r="AN334" s="16"/>
      <c r="AO334" s="16"/>
      <c r="AP334" s="128">
        <f t="shared" si="42"/>
        <v>0</v>
      </c>
      <c r="AQ334" s="15"/>
      <c r="AR334" s="15"/>
      <c r="AS334" s="15">
        <f t="shared" si="40"/>
        <v>0</v>
      </c>
      <c r="AT334" s="15"/>
      <c r="AU334" s="72"/>
      <c r="AV334" s="72"/>
      <c r="AW334" s="165"/>
      <c r="AX334" s="72">
        <f t="shared" si="41"/>
        <v>0</v>
      </c>
    </row>
    <row r="335" spans="1:50" ht="23.25" hidden="1">
      <c r="A335" s="18"/>
      <c r="B335" s="19">
        <v>-2</v>
      </c>
      <c r="C335" s="21"/>
      <c r="D335" s="20"/>
      <c r="E335" s="20"/>
      <c r="F335" s="20"/>
      <c r="G335" s="20"/>
      <c r="H335" s="20"/>
      <c r="I335" s="20"/>
      <c r="J335" s="20"/>
      <c r="K335" s="20"/>
      <c r="L335" s="14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6"/>
      <c r="AN335" s="16"/>
      <c r="AO335" s="16"/>
      <c r="AP335" s="128">
        <f t="shared" si="42"/>
        <v>0</v>
      </c>
      <c r="AQ335" s="15"/>
      <c r="AR335" s="15"/>
      <c r="AS335" s="15">
        <f t="shared" si="40"/>
        <v>0</v>
      </c>
      <c r="AT335" s="15"/>
      <c r="AU335" s="72"/>
      <c r="AV335" s="72"/>
      <c r="AW335" s="165"/>
      <c r="AX335" s="72">
        <f t="shared" si="41"/>
        <v>0</v>
      </c>
    </row>
    <row r="336" spans="1:50" ht="23.25" hidden="1">
      <c r="A336" s="18"/>
      <c r="B336" s="19">
        <v>-3</v>
      </c>
      <c r="C336" s="21"/>
      <c r="D336" s="20"/>
      <c r="E336" s="20"/>
      <c r="F336" s="20"/>
      <c r="G336" s="20"/>
      <c r="H336" s="20"/>
      <c r="I336" s="20"/>
      <c r="J336" s="20"/>
      <c r="K336" s="20"/>
      <c r="L336" s="14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6"/>
      <c r="AN336" s="16"/>
      <c r="AO336" s="16"/>
      <c r="AP336" s="128">
        <f t="shared" si="42"/>
        <v>0</v>
      </c>
      <c r="AQ336" s="15"/>
      <c r="AR336" s="15"/>
      <c r="AS336" s="15">
        <f t="shared" si="40"/>
        <v>0</v>
      </c>
      <c r="AT336" s="15"/>
      <c r="AU336" s="72"/>
      <c r="AV336" s="72"/>
      <c r="AW336" s="165"/>
      <c r="AX336" s="72">
        <f t="shared" si="41"/>
        <v>0</v>
      </c>
    </row>
    <row r="337" spans="1:50" ht="23.25" hidden="1">
      <c r="A337" s="18"/>
      <c r="B337" s="19">
        <v>-4</v>
      </c>
      <c r="C337" s="21"/>
      <c r="D337" s="20"/>
      <c r="E337" s="20"/>
      <c r="F337" s="20"/>
      <c r="G337" s="20"/>
      <c r="H337" s="20"/>
      <c r="I337" s="20"/>
      <c r="J337" s="20"/>
      <c r="K337" s="20"/>
      <c r="L337" s="14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6"/>
      <c r="AN337" s="16"/>
      <c r="AO337" s="16"/>
      <c r="AP337" s="128">
        <f t="shared" si="42"/>
        <v>0</v>
      </c>
      <c r="AQ337" s="15"/>
      <c r="AR337" s="15"/>
      <c r="AS337" s="15">
        <f t="shared" si="40"/>
        <v>0</v>
      </c>
      <c r="AT337" s="15"/>
      <c r="AU337" s="72"/>
      <c r="AV337" s="72"/>
      <c r="AW337" s="165"/>
      <c r="AX337" s="72">
        <f t="shared" si="41"/>
        <v>0</v>
      </c>
    </row>
    <row r="338" spans="1:50" ht="23.25" hidden="1">
      <c r="A338" s="18"/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14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6"/>
      <c r="AN338" s="16"/>
      <c r="AO338" s="16"/>
      <c r="AP338" s="128">
        <f t="shared" si="42"/>
        <v>0</v>
      </c>
      <c r="AQ338" s="15"/>
      <c r="AR338" s="15"/>
      <c r="AS338" s="15">
        <f t="shared" si="40"/>
        <v>0</v>
      </c>
      <c r="AT338" s="15"/>
      <c r="AU338" s="72"/>
      <c r="AV338" s="72"/>
      <c r="AW338" s="165"/>
      <c r="AX338" s="72">
        <f t="shared" si="41"/>
        <v>0</v>
      </c>
    </row>
    <row r="339" spans="1:50" ht="23.25">
      <c r="A339" s="175" t="s">
        <v>203</v>
      </c>
      <c r="B339" s="53"/>
      <c r="C339" s="54"/>
      <c r="D339" s="54"/>
      <c r="E339" s="54"/>
      <c r="F339" s="54"/>
      <c r="G339" s="54"/>
      <c r="H339" s="54"/>
      <c r="I339" s="54"/>
      <c r="J339" s="54"/>
      <c r="K339" s="54"/>
      <c r="L339" s="14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6"/>
      <c r="AN339" s="16"/>
      <c r="AO339" s="16"/>
      <c r="AP339" s="128">
        <f t="shared" si="42"/>
        <v>0</v>
      </c>
      <c r="AQ339" s="15"/>
      <c r="AR339" s="15"/>
      <c r="AS339" s="15">
        <f t="shared" si="40"/>
        <v>0</v>
      </c>
      <c r="AT339" s="15"/>
      <c r="AU339" s="72"/>
      <c r="AV339" s="72"/>
      <c r="AW339" s="165"/>
      <c r="AX339" s="72">
        <f t="shared" si="41"/>
        <v>0</v>
      </c>
    </row>
    <row r="340" spans="1:50" ht="23.25">
      <c r="A340" s="153" t="s">
        <v>18</v>
      </c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14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6"/>
      <c r="AN340" s="16"/>
      <c r="AO340" s="16"/>
      <c r="AP340" s="128">
        <f t="shared" si="42"/>
        <v>0</v>
      </c>
      <c r="AQ340" s="15"/>
      <c r="AR340" s="15"/>
      <c r="AS340" s="15">
        <f t="shared" si="40"/>
        <v>0</v>
      </c>
      <c r="AT340" s="15"/>
      <c r="AU340" s="72"/>
      <c r="AV340" s="72"/>
      <c r="AW340" s="165"/>
      <c r="AX340" s="72">
        <f t="shared" si="41"/>
        <v>0</v>
      </c>
    </row>
    <row r="341" spans="1:50" ht="23.25" hidden="1">
      <c r="A341" s="18"/>
      <c r="B341" s="19">
        <v>-1</v>
      </c>
      <c r="C341" s="21"/>
      <c r="D341" s="20" t="s">
        <v>204</v>
      </c>
      <c r="E341" s="20"/>
      <c r="F341" s="20"/>
      <c r="G341" s="20"/>
      <c r="H341" s="20"/>
      <c r="I341" s="20"/>
      <c r="J341" s="20"/>
      <c r="K341" s="20"/>
      <c r="L341" s="14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6"/>
      <c r="AN341" s="16"/>
      <c r="AO341" s="16"/>
      <c r="AP341" s="128">
        <f t="shared" si="42"/>
        <v>0</v>
      </c>
      <c r="AQ341" s="15"/>
      <c r="AR341" s="15"/>
      <c r="AS341" s="15">
        <f t="shared" si="40"/>
        <v>0</v>
      </c>
      <c r="AT341" s="15"/>
      <c r="AU341" s="72"/>
      <c r="AV341" s="72"/>
      <c r="AW341" s="165"/>
      <c r="AX341" s="72">
        <f t="shared" si="41"/>
        <v>0</v>
      </c>
    </row>
    <row r="342" spans="1:50" ht="23.25">
      <c r="A342" s="18"/>
      <c r="B342" s="19">
        <v>-1</v>
      </c>
      <c r="C342" s="21"/>
      <c r="D342" s="20" t="s">
        <v>205</v>
      </c>
      <c r="E342" s="20"/>
      <c r="F342" s="20"/>
      <c r="G342" s="20"/>
      <c r="H342" s="20"/>
      <c r="I342" s="20"/>
      <c r="J342" s="20"/>
      <c r="K342" s="20"/>
      <c r="L342" s="14"/>
      <c r="M342" s="15"/>
      <c r="N342" s="72">
        <v>7780033.84</v>
      </c>
      <c r="O342" s="72"/>
      <c r="P342" s="72"/>
      <c r="Q342" s="72"/>
      <c r="R342" s="72"/>
      <c r="S342" s="72"/>
      <c r="T342" s="72"/>
      <c r="U342" s="72"/>
      <c r="V342" s="72">
        <v>2654561.79</v>
      </c>
      <c r="W342" s="72"/>
      <c r="X342" s="72">
        <v>120927.48</v>
      </c>
      <c r="Y342" s="72"/>
      <c r="Z342" s="72"/>
      <c r="AA342" s="72"/>
      <c r="AB342" s="72">
        <v>415684.56</v>
      </c>
      <c r="AC342" s="72"/>
      <c r="AD342" s="72">
        <v>2047583.64</v>
      </c>
      <c r="AE342" s="72"/>
      <c r="AF342" s="72">
        <v>2177926.48</v>
      </c>
      <c r="AG342" s="72"/>
      <c r="AH342" s="72">
        <v>2171626.12</v>
      </c>
      <c r="AI342" s="72"/>
      <c r="AJ342" s="72"/>
      <c r="AK342" s="72"/>
      <c r="AL342" s="72">
        <v>4890030.21</v>
      </c>
      <c r="AM342" s="73"/>
      <c r="AN342" s="73">
        <v>40394.93</v>
      </c>
      <c r="AO342" s="16"/>
      <c r="AP342" s="128">
        <f t="shared" si="42"/>
        <v>7820428.77</v>
      </c>
      <c r="AQ342" s="15">
        <v>7820428.77</v>
      </c>
      <c r="AR342" s="15"/>
      <c r="AS342" s="15">
        <f t="shared" si="40"/>
        <v>0</v>
      </c>
      <c r="AT342" s="72">
        <v>2754554.25</v>
      </c>
      <c r="AU342" s="72"/>
      <c r="AV342" s="72">
        <v>43699.82</v>
      </c>
      <c r="AW342" s="165"/>
      <c r="AX342" s="72">
        <f t="shared" si="41"/>
        <v>2798254.07</v>
      </c>
    </row>
    <row r="343" spans="1:50" ht="23.25" hidden="1">
      <c r="A343" s="18"/>
      <c r="B343" s="19">
        <v>-3</v>
      </c>
      <c r="C343" s="21"/>
      <c r="D343" s="20" t="s">
        <v>206</v>
      </c>
      <c r="E343" s="20"/>
      <c r="F343" s="20"/>
      <c r="G343" s="20"/>
      <c r="H343" s="20"/>
      <c r="I343" s="20"/>
      <c r="J343" s="20"/>
      <c r="K343" s="20"/>
      <c r="L343" s="14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6"/>
      <c r="AN343" s="16"/>
      <c r="AO343" s="16"/>
      <c r="AP343" s="128">
        <f t="shared" si="42"/>
        <v>0</v>
      </c>
      <c r="AQ343" s="15"/>
      <c r="AR343" s="15">
        <f>SUM(AP343:AQ343)</f>
        <v>0</v>
      </c>
      <c r="AS343" s="15">
        <f t="shared" si="40"/>
        <v>0</v>
      </c>
      <c r="AT343" s="15"/>
      <c r="AU343" s="72"/>
      <c r="AV343" s="72"/>
      <c r="AW343" s="165"/>
      <c r="AX343" s="72">
        <f t="shared" si="41"/>
        <v>0</v>
      </c>
    </row>
    <row r="344" spans="1:50" ht="23.25">
      <c r="A344" s="18"/>
      <c r="B344" s="19">
        <v>-2</v>
      </c>
      <c r="C344" s="21"/>
      <c r="D344" s="20" t="s">
        <v>207</v>
      </c>
      <c r="E344" s="20"/>
      <c r="F344" s="20"/>
      <c r="G344" s="20"/>
      <c r="H344" s="20"/>
      <c r="I344" s="20"/>
      <c r="J344" s="20"/>
      <c r="K344" s="20"/>
      <c r="L344" s="14"/>
      <c r="M344" s="15"/>
      <c r="N344" s="15">
        <v>4424.21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>
        <v>22348.75</v>
      </c>
      <c r="AA344" s="15"/>
      <c r="AB344" s="15"/>
      <c r="AC344" s="15"/>
      <c r="AD344" s="15">
        <v>7321.59</v>
      </c>
      <c r="AE344" s="15"/>
      <c r="AF344" s="15">
        <v>2440.98</v>
      </c>
      <c r="AG344" s="15"/>
      <c r="AH344" s="15"/>
      <c r="AI344" s="15"/>
      <c r="AJ344" s="15"/>
      <c r="AK344" s="15"/>
      <c r="AL344" s="15">
        <v>35156.83</v>
      </c>
      <c r="AM344" s="16"/>
      <c r="AN344" s="16">
        <v>641.56</v>
      </c>
      <c r="AO344" s="16"/>
      <c r="AP344" s="128">
        <f t="shared" si="42"/>
        <v>5065.77</v>
      </c>
      <c r="AQ344" s="15">
        <v>5065.77</v>
      </c>
      <c r="AR344" s="15"/>
      <c r="AS344" s="15">
        <f t="shared" si="40"/>
        <v>0</v>
      </c>
      <c r="AT344" s="15"/>
      <c r="AU344" s="72"/>
      <c r="AV344" s="72"/>
      <c r="AW344" s="165"/>
      <c r="AX344" s="72">
        <f t="shared" si="41"/>
        <v>0</v>
      </c>
    </row>
    <row r="345" spans="1:50" ht="23.25">
      <c r="A345" s="18"/>
      <c r="B345" s="19">
        <v>-3</v>
      </c>
      <c r="C345" s="21"/>
      <c r="D345" s="20" t="s">
        <v>208</v>
      </c>
      <c r="E345" s="20"/>
      <c r="F345" s="20"/>
      <c r="G345" s="20"/>
      <c r="H345" s="20"/>
      <c r="I345" s="20"/>
      <c r="J345" s="20"/>
      <c r="K345" s="20"/>
      <c r="L345" s="14"/>
      <c r="M345" s="15"/>
      <c r="N345" s="15">
        <v>219730.81</v>
      </c>
      <c r="O345" s="15"/>
      <c r="P345" s="15"/>
      <c r="Q345" s="15"/>
      <c r="R345" s="15"/>
      <c r="S345" s="15"/>
      <c r="T345" s="15"/>
      <c r="U345" s="15"/>
      <c r="V345" s="15">
        <v>35406.41</v>
      </c>
      <c r="W345" s="15"/>
      <c r="X345" s="15">
        <v>37133.05</v>
      </c>
      <c r="Y345" s="15"/>
      <c r="Z345" s="15"/>
      <c r="AA345" s="15"/>
      <c r="AB345" s="15">
        <v>58522.1</v>
      </c>
      <c r="AC345" s="15"/>
      <c r="AD345" s="15">
        <v>14.55</v>
      </c>
      <c r="AE345" s="15"/>
      <c r="AF345" s="15"/>
      <c r="AG345" s="15"/>
      <c r="AH345" s="15"/>
      <c r="AI345" s="15"/>
      <c r="AJ345" s="15">
        <v>58522.1</v>
      </c>
      <c r="AK345" s="15"/>
      <c r="AL345" s="15">
        <v>118324.75</v>
      </c>
      <c r="AM345" s="16"/>
      <c r="AN345" s="16">
        <v>15802.86</v>
      </c>
      <c r="AO345" s="16"/>
      <c r="AP345" s="128">
        <f t="shared" si="42"/>
        <v>235533.66999999998</v>
      </c>
      <c r="AQ345" s="15">
        <v>235533.67</v>
      </c>
      <c r="AR345" s="15"/>
      <c r="AS345" s="15">
        <f t="shared" si="40"/>
        <v>0</v>
      </c>
      <c r="AT345" s="15">
        <v>59449.66</v>
      </c>
      <c r="AU345" s="72"/>
      <c r="AV345" s="72">
        <v>25519.45</v>
      </c>
      <c r="AW345" s="165"/>
      <c r="AX345" s="72">
        <f t="shared" si="41"/>
        <v>84969.11</v>
      </c>
    </row>
    <row r="346" spans="1:50" ht="23.25">
      <c r="A346" s="18"/>
      <c r="B346" s="19">
        <v>-3</v>
      </c>
      <c r="C346" s="21"/>
      <c r="D346" s="20" t="s">
        <v>209</v>
      </c>
      <c r="E346" s="20"/>
      <c r="F346" s="20"/>
      <c r="G346" s="20"/>
      <c r="H346" s="20"/>
      <c r="I346" s="20"/>
      <c r="J346" s="20"/>
      <c r="K346" s="20"/>
      <c r="L346" s="14"/>
      <c r="M346" s="15"/>
      <c r="N346" s="15">
        <v>412894.69</v>
      </c>
      <c r="O346" s="15"/>
      <c r="P346" s="15"/>
      <c r="Q346" s="15"/>
      <c r="R346" s="15"/>
      <c r="S346" s="15"/>
      <c r="T346" s="15"/>
      <c r="U346" s="15"/>
      <c r="V346" s="15">
        <v>202468.16</v>
      </c>
      <c r="W346" s="15"/>
      <c r="X346" s="15">
        <v>212379.24</v>
      </c>
      <c r="Y346" s="15"/>
      <c r="Z346" s="15"/>
      <c r="AA346" s="15"/>
      <c r="AB346" s="15">
        <v>309175.66</v>
      </c>
      <c r="AC346" s="15"/>
      <c r="AD346" s="15"/>
      <c r="AE346" s="15"/>
      <c r="AF346" s="15"/>
      <c r="AG346" s="15"/>
      <c r="AH346" s="15"/>
      <c r="AI346" s="15"/>
      <c r="AJ346" s="15">
        <v>309175.66</v>
      </c>
      <c r="AK346" s="15"/>
      <c r="AL346" s="15">
        <v>370132.54</v>
      </c>
      <c r="AM346" s="16"/>
      <c r="AN346" s="16">
        <v>48967.88</v>
      </c>
      <c r="AO346" s="16"/>
      <c r="AP346" s="128">
        <f t="shared" si="42"/>
        <v>461862.57</v>
      </c>
      <c r="AQ346" s="15">
        <v>461862.57</v>
      </c>
      <c r="AR346" s="15"/>
      <c r="AS346" s="15">
        <f t="shared" si="40"/>
        <v>0</v>
      </c>
      <c r="AT346" s="15">
        <v>164420.96</v>
      </c>
      <c r="AU346" s="72"/>
      <c r="AV346" s="72">
        <v>61085.5</v>
      </c>
      <c r="AW346" s="165"/>
      <c r="AX346" s="72">
        <f t="shared" si="41"/>
        <v>225506.46</v>
      </c>
    </row>
    <row r="347" spans="1:50" ht="23.25" hidden="1">
      <c r="A347" s="18"/>
      <c r="B347" s="19">
        <v>-7</v>
      </c>
      <c r="C347" s="21"/>
      <c r="D347" s="20" t="s">
        <v>210</v>
      </c>
      <c r="E347" s="20"/>
      <c r="F347" s="20"/>
      <c r="G347" s="20"/>
      <c r="H347" s="20"/>
      <c r="I347" s="20"/>
      <c r="J347" s="20"/>
      <c r="K347" s="20"/>
      <c r="L347" s="14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6"/>
      <c r="AN347" s="16"/>
      <c r="AO347" s="16"/>
      <c r="AP347" s="128">
        <f t="shared" si="42"/>
        <v>0</v>
      </c>
      <c r="AQ347" s="15"/>
      <c r="AR347" s="15"/>
      <c r="AS347" s="15">
        <f t="shared" si="40"/>
        <v>0</v>
      </c>
      <c r="AT347" s="15"/>
      <c r="AU347" s="72"/>
      <c r="AV347" s="72"/>
      <c r="AW347" s="165"/>
      <c r="AX347" s="72">
        <f t="shared" si="41"/>
        <v>0</v>
      </c>
    </row>
    <row r="348" spans="1:50" ht="23.25" hidden="1">
      <c r="A348" s="18"/>
      <c r="B348" s="19">
        <v>-8</v>
      </c>
      <c r="C348" s="21"/>
      <c r="D348" s="20" t="s">
        <v>211</v>
      </c>
      <c r="E348" s="20"/>
      <c r="F348" s="20"/>
      <c r="G348" s="20"/>
      <c r="H348" s="20"/>
      <c r="I348" s="20"/>
      <c r="J348" s="20"/>
      <c r="K348" s="20"/>
      <c r="L348" s="14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6"/>
      <c r="AN348" s="16"/>
      <c r="AO348" s="16"/>
      <c r="AP348" s="128">
        <f t="shared" si="42"/>
        <v>0</v>
      </c>
      <c r="AQ348" s="15"/>
      <c r="AR348" s="15"/>
      <c r="AS348" s="15">
        <f t="shared" si="40"/>
        <v>0</v>
      </c>
      <c r="AT348" s="15"/>
      <c r="AU348" s="72"/>
      <c r="AV348" s="72"/>
      <c r="AW348" s="165"/>
      <c r="AX348" s="72">
        <f t="shared" si="41"/>
        <v>0</v>
      </c>
    </row>
    <row r="349" spans="1:50" ht="23.25" hidden="1">
      <c r="A349" s="18"/>
      <c r="B349" s="19">
        <v>-9</v>
      </c>
      <c r="C349" s="21"/>
      <c r="D349" s="20" t="s">
        <v>212</v>
      </c>
      <c r="E349" s="20"/>
      <c r="F349" s="20"/>
      <c r="G349" s="20"/>
      <c r="H349" s="20"/>
      <c r="I349" s="20"/>
      <c r="J349" s="20"/>
      <c r="K349" s="20"/>
      <c r="L349" s="14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6"/>
      <c r="AN349" s="16"/>
      <c r="AO349" s="16"/>
      <c r="AP349" s="128">
        <f t="shared" si="42"/>
        <v>0</v>
      </c>
      <c r="AQ349" s="15"/>
      <c r="AR349" s="15"/>
      <c r="AS349" s="15">
        <f aca="true" t="shared" si="43" ref="AS349:AS380">AP349-AQ349</f>
        <v>0</v>
      </c>
      <c r="AT349" s="15"/>
      <c r="AU349" s="72"/>
      <c r="AV349" s="72"/>
      <c r="AW349" s="165"/>
      <c r="AX349" s="72">
        <f t="shared" si="41"/>
        <v>0</v>
      </c>
    </row>
    <row r="350" spans="1:50" ht="23.25">
      <c r="A350" s="18"/>
      <c r="B350" s="19">
        <v>-5</v>
      </c>
      <c r="C350" s="21"/>
      <c r="D350" s="20" t="s">
        <v>213</v>
      </c>
      <c r="E350" s="20"/>
      <c r="F350" s="20"/>
      <c r="G350" s="20"/>
      <c r="H350" s="20"/>
      <c r="I350" s="20"/>
      <c r="J350" s="20"/>
      <c r="K350" s="20"/>
      <c r="L350" s="14"/>
      <c r="M350" s="15"/>
      <c r="N350" s="15">
        <v>20142.68</v>
      </c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6"/>
      <c r="AN350" s="16">
        <v>5879.16</v>
      </c>
      <c r="AO350" s="16"/>
      <c r="AP350" s="128">
        <f t="shared" si="42"/>
        <v>26021.84</v>
      </c>
      <c r="AQ350" s="15">
        <v>26021.84</v>
      </c>
      <c r="AR350" s="15"/>
      <c r="AS350" s="15">
        <f t="shared" si="43"/>
        <v>0</v>
      </c>
      <c r="AT350" s="15">
        <v>5451.17</v>
      </c>
      <c r="AU350" s="72"/>
      <c r="AV350" s="72"/>
      <c r="AW350" s="165"/>
      <c r="AX350" s="72">
        <f t="shared" si="41"/>
        <v>5451.17</v>
      </c>
    </row>
    <row r="351" spans="1:50" ht="23.25">
      <c r="A351" s="18"/>
      <c r="B351" s="19">
        <v>-6</v>
      </c>
      <c r="C351" s="21"/>
      <c r="D351" s="20" t="s">
        <v>214</v>
      </c>
      <c r="E351" s="20"/>
      <c r="F351" s="20"/>
      <c r="G351" s="20"/>
      <c r="H351" s="20"/>
      <c r="I351" s="20"/>
      <c r="J351" s="20"/>
      <c r="K351" s="20"/>
      <c r="L351" s="14"/>
      <c r="M351" s="15"/>
      <c r="N351" s="15">
        <v>16382.73</v>
      </c>
      <c r="O351" s="15"/>
      <c r="P351" s="15"/>
      <c r="Q351" s="15"/>
      <c r="R351" s="15"/>
      <c r="S351" s="15"/>
      <c r="T351" s="15"/>
      <c r="U351" s="15"/>
      <c r="V351" s="15">
        <v>5629.05</v>
      </c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>
        <v>6532.29</v>
      </c>
      <c r="AI351" s="15">
        <v>6533.29</v>
      </c>
      <c r="AJ351" s="15">
        <v>6532.29</v>
      </c>
      <c r="AK351" s="15">
        <v>7321.59</v>
      </c>
      <c r="AL351" s="15">
        <v>44722.2</v>
      </c>
      <c r="AM351" s="16"/>
      <c r="AN351" s="16"/>
      <c r="AO351" s="16"/>
      <c r="AP351" s="128">
        <f t="shared" si="42"/>
        <v>16382.73</v>
      </c>
      <c r="AQ351" s="15">
        <v>16382.73</v>
      </c>
      <c r="AR351" s="15"/>
      <c r="AS351" s="15">
        <f t="shared" si="43"/>
        <v>0</v>
      </c>
      <c r="AT351" s="15">
        <v>2724.98</v>
      </c>
      <c r="AU351" s="72"/>
      <c r="AV351" s="72"/>
      <c r="AW351" s="165"/>
      <c r="AX351" s="72">
        <f t="shared" si="41"/>
        <v>2724.98</v>
      </c>
    </row>
    <row r="352" spans="1:50" ht="23.25" hidden="1">
      <c r="A352" s="18"/>
      <c r="B352" s="19">
        <v>-12</v>
      </c>
      <c r="C352" s="21"/>
      <c r="D352" s="20" t="s">
        <v>215</v>
      </c>
      <c r="E352" s="20"/>
      <c r="F352" s="20"/>
      <c r="G352" s="20"/>
      <c r="H352" s="20"/>
      <c r="I352" s="20"/>
      <c r="J352" s="20"/>
      <c r="K352" s="20"/>
      <c r="L352" s="14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6"/>
      <c r="AN352" s="16"/>
      <c r="AO352" s="16"/>
      <c r="AP352" s="128">
        <f t="shared" si="42"/>
        <v>0</v>
      </c>
      <c r="AQ352" s="15"/>
      <c r="AR352" s="15">
        <f>SUM(AP352:AQ352)</f>
        <v>0</v>
      </c>
      <c r="AS352" s="15">
        <f t="shared" si="43"/>
        <v>0</v>
      </c>
      <c r="AT352" s="15"/>
      <c r="AU352" s="72"/>
      <c r="AV352" s="72"/>
      <c r="AW352" s="165"/>
      <c r="AX352" s="72">
        <f t="shared" si="41"/>
        <v>0</v>
      </c>
    </row>
    <row r="353" spans="1:50" ht="23.25">
      <c r="A353" s="18"/>
      <c r="B353" s="19">
        <v>-7</v>
      </c>
      <c r="C353" s="21"/>
      <c r="D353" s="101" t="s">
        <v>216</v>
      </c>
      <c r="E353" s="20"/>
      <c r="F353" s="20"/>
      <c r="G353" s="20"/>
      <c r="H353" s="20"/>
      <c r="I353" s="20"/>
      <c r="J353" s="20"/>
      <c r="K353" s="20"/>
      <c r="L353" s="14"/>
      <c r="M353" s="15"/>
      <c r="N353" s="15">
        <v>229348.75</v>
      </c>
      <c r="O353" s="15"/>
      <c r="P353" s="15"/>
      <c r="Q353" s="15"/>
      <c r="R353" s="15"/>
      <c r="S353" s="15"/>
      <c r="T353" s="15"/>
      <c r="U353" s="15"/>
      <c r="V353" s="15">
        <v>13881.27</v>
      </c>
      <c r="W353" s="15"/>
      <c r="X353" s="15">
        <v>223490</v>
      </c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>
        <v>88519</v>
      </c>
      <c r="AK353" s="15"/>
      <c r="AL353" s="15">
        <v>399349</v>
      </c>
      <c r="AM353" s="16"/>
      <c r="AN353" s="16">
        <v>1594.85</v>
      </c>
      <c r="AO353" s="16"/>
      <c r="AP353" s="128">
        <f t="shared" si="42"/>
        <v>230943.6</v>
      </c>
      <c r="AQ353" s="15">
        <v>230943.6</v>
      </c>
      <c r="AR353" s="15"/>
      <c r="AS353" s="15">
        <f t="shared" si="43"/>
        <v>0</v>
      </c>
      <c r="AT353" s="15">
        <v>18859.85</v>
      </c>
      <c r="AU353" s="72"/>
      <c r="AV353" s="72"/>
      <c r="AW353" s="165"/>
      <c r="AX353" s="72">
        <f t="shared" si="41"/>
        <v>18859.85</v>
      </c>
    </row>
    <row r="354" spans="1:50" ht="24.75" customHeight="1" hidden="1">
      <c r="A354" s="18"/>
      <c r="B354" s="19">
        <v>-14</v>
      </c>
      <c r="C354" s="21"/>
      <c r="D354" s="20" t="s">
        <v>217</v>
      </c>
      <c r="E354" s="20"/>
      <c r="F354" s="20"/>
      <c r="G354" s="20"/>
      <c r="H354" s="20"/>
      <c r="I354" s="20"/>
      <c r="J354" s="20"/>
      <c r="K354" s="20"/>
      <c r="L354" s="14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6"/>
      <c r="AN354" s="16"/>
      <c r="AO354" s="16"/>
      <c r="AP354" s="128">
        <f t="shared" si="42"/>
        <v>0</v>
      </c>
      <c r="AQ354" s="15"/>
      <c r="AR354" s="15">
        <f aca="true" t="shared" si="44" ref="AR354:AR363">SUM(AP354:AQ354)</f>
        <v>0</v>
      </c>
      <c r="AS354" s="15">
        <f t="shared" si="43"/>
        <v>0</v>
      </c>
      <c r="AT354" s="15"/>
      <c r="AU354" s="72"/>
      <c r="AV354" s="72"/>
      <c r="AW354" s="165"/>
      <c r="AX354" s="72">
        <f t="shared" si="41"/>
        <v>0</v>
      </c>
    </row>
    <row r="355" spans="1:50" ht="23.25" hidden="1">
      <c r="A355" s="18"/>
      <c r="B355" s="19">
        <v>-15</v>
      </c>
      <c r="C355" s="21"/>
      <c r="D355" s="20" t="s">
        <v>218</v>
      </c>
      <c r="E355" s="20"/>
      <c r="F355" s="20"/>
      <c r="G355" s="20"/>
      <c r="H355" s="20"/>
      <c r="I355" s="20"/>
      <c r="J355" s="20"/>
      <c r="K355" s="20"/>
      <c r="L355" s="14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6"/>
      <c r="AN355" s="16"/>
      <c r="AO355" s="16"/>
      <c r="AP355" s="128">
        <f t="shared" si="42"/>
        <v>0</v>
      </c>
      <c r="AQ355" s="15"/>
      <c r="AR355" s="15">
        <f t="shared" si="44"/>
        <v>0</v>
      </c>
      <c r="AS355" s="15">
        <f t="shared" si="43"/>
        <v>0</v>
      </c>
      <c r="AT355" s="15"/>
      <c r="AU355" s="72"/>
      <c r="AV355" s="72"/>
      <c r="AW355" s="165"/>
      <c r="AX355" s="72">
        <f t="shared" si="41"/>
        <v>0</v>
      </c>
    </row>
    <row r="356" spans="1:50" ht="23.25" hidden="1">
      <c r="A356" s="18"/>
      <c r="B356" s="19">
        <v>-16</v>
      </c>
      <c r="C356" s="21"/>
      <c r="D356" s="20" t="s">
        <v>219</v>
      </c>
      <c r="E356" s="20"/>
      <c r="F356" s="20"/>
      <c r="G356" s="20"/>
      <c r="H356" s="20"/>
      <c r="I356" s="20"/>
      <c r="J356" s="20"/>
      <c r="K356" s="20"/>
      <c r="L356" s="14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6"/>
      <c r="AN356" s="16"/>
      <c r="AO356" s="16"/>
      <c r="AP356" s="128">
        <f t="shared" si="42"/>
        <v>0</v>
      </c>
      <c r="AQ356" s="15"/>
      <c r="AR356" s="15">
        <f t="shared" si="44"/>
        <v>0</v>
      </c>
      <c r="AS356" s="15">
        <f t="shared" si="43"/>
        <v>0</v>
      </c>
      <c r="AT356" s="15"/>
      <c r="AU356" s="72"/>
      <c r="AV356" s="72"/>
      <c r="AW356" s="165"/>
      <c r="AX356" s="72">
        <f t="shared" si="41"/>
        <v>0</v>
      </c>
    </row>
    <row r="357" spans="1:50" ht="23.25" hidden="1">
      <c r="A357" s="18"/>
      <c r="B357" s="19">
        <v>-17</v>
      </c>
      <c r="C357" s="21"/>
      <c r="D357" s="20" t="s">
        <v>220</v>
      </c>
      <c r="E357" s="20"/>
      <c r="F357" s="20"/>
      <c r="G357" s="20"/>
      <c r="H357" s="20"/>
      <c r="I357" s="20"/>
      <c r="J357" s="20"/>
      <c r="K357" s="20"/>
      <c r="L357" s="14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6"/>
      <c r="AN357" s="16"/>
      <c r="AO357" s="16"/>
      <c r="AP357" s="128">
        <f t="shared" si="42"/>
        <v>0</v>
      </c>
      <c r="AQ357" s="15"/>
      <c r="AR357" s="15">
        <f t="shared" si="44"/>
        <v>0</v>
      </c>
      <c r="AS357" s="15">
        <f t="shared" si="43"/>
        <v>0</v>
      </c>
      <c r="AT357" s="15"/>
      <c r="AU357" s="72"/>
      <c r="AV357" s="72"/>
      <c r="AW357" s="165"/>
      <c r="AX357" s="72">
        <f t="shared" si="41"/>
        <v>0</v>
      </c>
    </row>
    <row r="358" spans="1:50" ht="23.25" hidden="1">
      <c r="A358" s="18"/>
      <c r="B358" s="19">
        <v>-18</v>
      </c>
      <c r="C358" s="21"/>
      <c r="D358" s="20"/>
      <c r="E358" s="20"/>
      <c r="F358" s="20"/>
      <c r="G358" s="20"/>
      <c r="H358" s="20"/>
      <c r="I358" s="20"/>
      <c r="J358" s="20"/>
      <c r="K358" s="20"/>
      <c r="L358" s="14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6"/>
      <c r="AN358" s="16"/>
      <c r="AO358" s="16"/>
      <c r="AP358" s="128">
        <f t="shared" si="42"/>
        <v>0</v>
      </c>
      <c r="AQ358" s="15"/>
      <c r="AR358" s="15">
        <f t="shared" si="44"/>
        <v>0</v>
      </c>
      <c r="AS358" s="15">
        <f t="shared" si="43"/>
        <v>0</v>
      </c>
      <c r="AT358" s="15"/>
      <c r="AU358" s="72"/>
      <c r="AV358" s="72"/>
      <c r="AW358" s="165"/>
      <c r="AX358" s="72">
        <f t="shared" si="41"/>
        <v>0</v>
      </c>
    </row>
    <row r="359" spans="1:50" ht="23.25" hidden="1">
      <c r="A359" s="18"/>
      <c r="B359" s="19">
        <v>-19</v>
      </c>
      <c r="C359" s="21"/>
      <c r="D359" s="20"/>
      <c r="E359" s="20"/>
      <c r="F359" s="20"/>
      <c r="G359" s="20"/>
      <c r="H359" s="20"/>
      <c r="I359" s="20"/>
      <c r="J359" s="20"/>
      <c r="K359" s="20"/>
      <c r="L359" s="14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6"/>
      <c r="AN359" s="16"/>
      <c r="AO359" s="16"/>
      <c r="AP359" s="128">
        <f t="shared" si="42"/>
        <v>0</v>
      </c>
      <c r="AQ359" s="15"/>
      <c r="AR359" s="15">
        <f t="shared" si="44"/>
        <v>0</v>
      </c>
      <c r="AS359" s="15">
        <f t="shared" si="43"/>
        <v>0</v>
      </c>
      <c r="AT359" s="15"/>
      <c r="AU359" s="72"/>
      <c r="AV359" s="72"/>
      <c r="AW359" s="165"/>
      <c r="AX359" s="72">
        <f t="shared" si="41"/>
        <v>0</v>
      </c>
    </row>
    <row r="360" spans="1:50" ht="23.25" hidden="1">
      <c r="A360" s="18"/>
      <c r="B360" s="19">
        <v>-20</v>
      </c>
      <c r="C360" s="21"/>
      <c r="D360" s="20"/>
      <c r="E360" s="20"/>
      <c r="F360" s="20"/>
      <c r="G360" s="20"/>
      <c r="H360" s="20"/>
      <c r="I360" s="20"/>
      <c r="J360" s="20"/>
      <c r="K360" s="20"/>
      <c r="L360" s="14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6"/>
      <c r="AN360" s="16"/>
      <c r="AO360" s="16"/>
      <c r="AP360" s="128">
        <f aca="true" t="shared" si="45" ref="AP360:AP391">N360+AN360-AM360</f>
        <v>0</v>
      </c>
      <c r="AQ360" s="15"/>
      <c r="AR360" s="15">
        <f t="shared" si="44"/>
        <v>0</v>
      </c>
      <c r="AS360" s="15">
        <f t="shared" si="43"/>
        <v>0</v>
      </c>
      <c r="AT360" s="15"/>
      <c r="AU360" s="72"/>
      <c r="AV360" s="72"/>
      <c r="AW360" s="165"/>
      <c r="AX360" s="72">
        <f t="shared" si="41"/>
        <v>0</v>
      </c>
    </row>
    <row r="361" spans="1:50" ht="23.25" hidden="1">
      <c r="A361" s="18"/>
      <c r="B361" s="19"/>
      <c r="C361" s="20"/>
      <c r="D361" s="20"/>
      <c r="E361" s="20"/>
      <c r="F361" s="20"/>
      <c r="G361" s="20"/>
      <c r="H361" s="20"/>
      <c r="I361" s="20"/>
      <c r="J361" s="20"/>
      <c r="K361" s="20"/>
      <c r="L361" s="14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6"/>
      <c r="AN361" s="16"/>
      <c r="AO361" s="16"/>
      <c r="AP361" s="128">
        <f t="shared" si="45"/>
        <v>0</v>
      </c>
      <c r="AQ361" s="15"/>
      <c r="AR361" s="15">
        <f t="shared" si="44"/>
        <v>0</v>
      </c>
      <c r="AS361" s="15">
        <f t="shared" si="43"/>
        <v>0</v>
      </c>
      <c r="AT361" s="15"/>
      <c r="AU361" s="72"/>
      <c r="AV361" s="72"/>
      <c r="AW361" s="165"/>
      <c r="AX361" s="72">
        <f t="shared" si="41"/>
        <v>0</v>
      </c>
    </row>
    <row r="362" spans="1:50" ht="23.25" hidden="1">
      <c r="A362" s="52" t="s">
        <v>221</v>
      </c>
      <c r="B362" s="53"/>
      <c r="C362" s="54"/>
      <c r="D362" s="54"/>
      <c r="E362" s="54"/>
      <c r="F362" s="54"/>
      <c r="G362" s="54"/>
      <c r="H362" s="54"/>
      <c r="I362" s="54"/>
      <c r="J362" s="54"/>
      <c r="K362" s="54"/>
      <c r="L362" s="14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6"/>
      <c r="AN362" s="16"/>
      <c r="AO362" s="16"/>
      <c r="AP362" s="128">
        <f t="shared" si="45"/>
        <v>0</v>
      </c>
      <c r="AQ362" s="15"/>
      <c r="AR362" s="15">
        <f t="shared" si="44"/>
        <v>0</v>
      </c>
      <c r="AS362" s="15">
        <f t="shared" si="43"/>
        <v>0</v>
      </c>
      <c r="AT362" s="15"/>
      <c r="AU362" s="72"/>
      <c r="AV362" s="72"/>
      <c r="AW362" s="165"/>
      <c r="AX362" s="72">
        <f t="shared" si="41"/>
        <v>0</v>
      </c>
    </row>
    <row r="363" spans="1:50" ht="23.25">
      <c r="A363" s="100" t="s">
        <v>19</v>
      </c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69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90"/>
      <c r="AN363" s="90"/>
      <c r="AO363" s="90"/>
      <c r="AP363" s="133">
        <f t="shared" si="45"/>
        <v>0</v>
      </c>
      <c r="AQ363" s="15"/>
      <c r="AR363" s="15">
        <f t="shared" si="44"/>
        <v>0</v>
      </c>
      <c r="AS363" s="15">
        <f t="shared" si="43"/>
        <v>0</v>
      </c>
      <c r="AT363" s="15"/>
      <c r="AU363" s="72"/>
      <c r="AV363" s="72"/>
      <c r="AW363" s="165"/>
      <c r="AX363" s="72">
        <f t="shared" si="41"/>
        <v>0</v>
      </c>
    </row>
    <row r="364" spans="1:50" ht="23.25">
      <c r="A364" s="107"/>
      <c r="B364" s="108">
        <v>-1</v>
      </c>
      <c r="C364" s="116"/>
      <c r="D364" s="110" t="s">
        <v>222</v>
      </c>
      <c r="E364" s="110"/>
      <c r="F364" s="110"/>
      <c r="G364" s="110"/>
      <c r="H364" s="110"/>
      <c r="I364" s="110"/>
      <c r="J364" s="110"/>
      <c r="K364" s="110"/>
      <c r="L364" s="111"/>
      <c r="M364" s="112"/>
      <c r="N364" s="117">
        <v>11372732.59</v>
      </c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3"/>
      <c r="AN364" s="113"/>
      <c r="AO364" s="143"/>
      <c r="AP364" s="134">
        <f t="shared" si="45"/>
        <v>11372732.59</v>
      </c>
      <c r="AQ364" s="72">
        <v>11372732.59</v>
      </c>
      <c r="AR364" s="72"/>
      <c r="AS364" s="72">
        <f t="shared" si="43"/>
        <v>0</v>
      </c>
      <c r="AT364" s="72">
        <v>4609446</v>
      </c>
      <c r="AU364" s="72"/>
      <c r="AV364" s="72"/>
      <c r="AW364" s="165"/>
      <c r="AX364" s="72">
        <f t="shared" si="41"/>
        <v>4609446</v>
      </c>
    </row>
    <row r="365" spans="1:50" ht="21" customHeight="1" hidden="1">
      <c r="A365" s="18"/>
      <c r="B365" s="19">
        <v>-2</v>
      </c>
      <c r="C365" s="60"/>
      <c r="D365" s="20" t="s">
        <v>223</v>
      </c>
      <c r="E365" s="20"/>
      <c r="F365" s="20"/>
      <c r="G365" s="20"/>
      <c r="H365" s="20"/>
      <c r="I365" s="20"/>
      <c r="J365" s="20"/>
      <c r="K365" s="20"/>
      <c r="L365" s="14"/>
      <c r="M365" s="15"/>
      <c r="N365" s="15"/>
      <c r="O365" s="15"/>
      <c r="P365" s="15"/>
      <c r="Q365" s="15"/>
      <c r="R365" s="15"/>
      <c r="S365" s="15"/>
      <c r="T365" s="15">
        <v>987000</v>
      </c>
      <c r="U365" s="15">
        <f>409000+54000</f>
        <v>463000</v>
      </c>
      <c r="V365" s="15"/>
      <c r="W365" s="15"/>
      <c r="X365" s="15"/>
      <c r="Y365" s="15"/>
      <c r="Z365" s="15"/>
      <c r="AA365" s="15"/>
      <c r="AB365" s="15"/>
      <c r="AC365" s="15"/>
      <c r="AD365" s="15"/>
      <c r="AE365" s="15">
        <v>480000</v>
      </c>
      <c r="AF365" s="15">
        <v>480000</v>
      </c>
      <c r="AG365" s="15"/>
      <c r="AH365" s="15"/>
      <c r="AI365" s="15"/>
      <c r="AJ365" s="15">
        <v>402500</v>
      </c>
      <c r="AK365" s="15">
        <f>114500+106500+54500+34500+92500+524000</f>
        <v>926500</v>
      </c>
      <c r="AL365" s="15"/>
      <c r="AM365" s="16"/>
      <c r="AN365" s="16"/>
      <c r="AO365" s="73"/>
      <c r="AP365" s="124">
        <f t="shared" si="45"/>
        <v>0</v>
      </c>
      <c r="AQ365" s="72"/>
      <c r="AR365" s="72">
        <f aca="true" t="shared" si="46" ref="AR365:AR396">SUM(AP365:AQ365)</f>
        <v>0</v>
      </c>
      <c r="AS365" s="72">
        <f t="shared" si="43"/>
        <v>0</v>
      </c>
      <c r="AT365" s="72"/>
      <c r="AU365" s="72"/>
      <c r="AV365" s="72"/>
      <c r="AW365" s="165"/>
      <c r="AX365" s="72">
        <f t="shared" si="41"/>
        <v>0</v>
      </c>
    </row>
    <row r="366" spans="1:50" ht="25.5" customHeight="1" hidden="1">
      <c r="A366" s="22" t="s">
        <v>43</v>
      </c>
      <c r="B366" s="19" t="s">
        <v>224</v>
      </c>
      <c r="C366" s="20"/>
      <c r="D366" s="20"/>
      <c r="E366" s="20"/>
      <c r="F366" s="20"/>
      <c r="G366" s="20"/>
      <c r="H366" s="20"/>
      <c r="I366" s="20"/>
      <c r="J366" s="20"/>
      <c r="K366" s="20"/>
      <c r="L366" s="14"/>
      <c r="M366" s="25"/>
      <c r="N366" s="2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6"/>
      <c r="AN366" s="16"/>
      <c r="AO366" s="73"/>
      <c r="AP366" s="124">
        <f t="shared" si="45"/>
        <v>0</v>
      </c>
      <c r="AQ366" s="72"/>
      <c r="AR366" s="72">
        <f t="shared" si="46"/>
        <v>0</v>
      </c>
      <c r="AS366" s="72">
        <f t="shared" si="43"/>
        <v>0</v>
      </c>
      <c r="AT366" s="72"/>
      <c r="AU366" s="72"/>
      <c r="AV366" s="72"/>
      <c r="AW366" s="165"/>
      <c r="AX366" s="72">
        <f t="shared" si="41"/>
        <v>0</v>
      </c>
    </row>
    <row r="367" spans="1:50" ht="25.5" customHeight="1" hidden="1">
      <c r="A367" s="22" t="s">
        <v>43</v>
      </c>
      <c r="B367" s="19" t="s">
        <v>225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14"/>
      <c r="M367" s="25"/>
      <c r="N367" s="2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6"/>
      <c r="AN367" s="16"/>
      <c r="AO367" s="73"/>
      <c r="AP367" s="124">
        <f t="shared" si="45"/>
        <v>0</v>
      </c>
      <c r="AQ367" s="72"/>
      <c r="AR367" s="72">
        <f t="shared" si="46"/>
        <v>0</v>
      </c>
      <c r="AS367" s="72">
        <f t="shared" si="43"/>
        <v>0</v>
      </c>
      <c r="AT367" s="72"/>
      <c r="AU367" s="72"/>
      <c r="AV367" s="72"/>
      <c r="AW367" s="165"/>
      <c r="AX367" s="72">
        <f t="shared" si="41"/>
        <v>0</v>
      </c>
    </row>
    <row r="368" spans="1:50" ht="25.5" customHeight="1" hidden="1">
      <c r="A368" s="22" t="s">
        <v>43</v>
      </c>
      <c r="B368" s="19" t="s">
        <v>226</v>
      </c>
      <c r="C368" s="20"/>
      <c r="D368" s="20"/>
      <c r="E368" s="20"/>
      <c r="F368" s="20"/>
      <c r="G368" s="20"/>
      <c r="H368" s="20"/>
      <c r="I368" s="20"/>
      <c r="J368" s="20"/>
      <c r="K368" s="20"/>
      <c r="L368" s="14"/>
      <c r="M368" s="25"/>
      <c r="N368" s="2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6"/>
      <c r="AN368" s="16"/>
      <c r="AO368" s="73"/>
      <c r="AP368" s="124">
        <f t="shared" si="45"/>
        <v>0</v>
      </c>
      <c r="AQ368" s="72"/>
      <c r="AR368" s="72">
        <f t="shared" si="46"/>
        <v>0</v>
      </c>
      <c r="AS368" s="72">
        <f t="shared" si="43"/>
        <v>0</v>
      </c>
      <c r="AT368" s="72"/>
      <c r="AU368" s="72"/>
      <c r="AV368" s="72"/>
      <c r="AW368" s="165"/>
      <c r="AX368" s="72">
        <f t="shared" si="41"/>
        <v>0</v>
      </c>
    </row>
    <row r="369" spans="1:50" ht="25.5" customHeight="1" hidden="1">
      <c r="A369" s="22" t="s">
        <v>43</v>
      </c>
      <c r="B369" s="19" t="s">
        <v>227</v>
      </c>
      <c r="C369" s="20"/>
      <c r="D369" s="20"/>
      <c r="E369" s="20"/>
      <c r="F369" s="20"/>
      <c r="G369" s="20"/>
      <c r="H369" s="20"/>
      <c r="I369" s="20"/>
      <c r="J369" s="20"/>
      <c r="K369" s="20"/>
      <c r="L369" s="14"/>
      <c r="M369" s="25"/>
      <c r="N369" s="2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6"/>
      <c r="AN369" s="16"/>
      <c r="AO369" s="73"/>
      <c r="AP369" s="124">
        <f t="shared" si="45"/>
        <v>0</v>
      </c>
      <c r="AQ369" s="72"/>
      <c r="AR369" s="72">
        <f t="shared" si="46"/>
        <v>0</v>
      </c>
      <c r="AS369" s="72">
        <f t="shared" si="43"/>
        <v>0</v>
      </c>
      <c r="AT369" s="72"/>
      <c r="AU369" s="72"/>
      <c r="AV369" s="72"/>
      <c r="AW369" s="165"/>
      <c r="AX369" s="72">
        <f t="shared" si="41"/>
        <v>0</v>
      </c>
    </row>
    <row r="370" spans="1:50" ht="25.5" customHeight="1" hidden="1">
      <c r="A370" s="22" t="s">
        <v>43</v>
      </c>
      <c r="B370" s="19" t="s">
        <v>228</v>
      </c>
      <c r="C370" s="20"/>
      <c r="D370" s="20"/>
      <c r="E370" s="20"/>
      <c r="F370" s="20"/>
      <c r="G370" s="20"/>
      <c r="H370" s="20"/>
      <c r="I370" s="20"/>
      <c r="J370" s="20"/>
      <c r="K370" s="20"/>
      <c r="L370" s="14"/>
      <c r="M370" s="25"/>
      <c r="N370" s="2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6"/>
      <c r="AN370" s="16"/>
      <c r="AO370" s="73"/>
      <c r="AP370" s="124">
        <f t="shared" si="45"/>
        <v>0</v>
      </c>
      <c r="AQ370" s="72"/>
      <c r="AR370" s="72">
        <f t="shared" si="46"/>
        <v>0</v>
      </c>
      <c r="AS370" s="72">
        <f t="shared" si="43"/>
        <v>0</v>
      </c>
      <c r="AT370" s="72"/>
      <c r="AU370" s="72"/>
      <c r="AV370" s="72"/>
      <c r="AW370" s="165"/>
      <c r="AX370" s="72">
        <f t="shared" si="41"/>
        <v>0</v>
      </c>
    </row>
    <row r="371" spans="1:50" ht="25.5" customHeight="1" hidden="1">
      <c r="A371" s="22" t="s">
        <v>43</v>
      </c>
      <c r="B371" s="19" t="s">
        <v>229</v>
      </c>
      <c r="C371" s="20"/>
      <c r="D371" s="20"/>
      <c r="E371" s="20"/>
      <c r="F371" s="20"/>
      <c r="G371" s="20"/>
      <c r="H371" s="20"/>
      <c r="I371" s="20"/>
      <c r="J371" s="20"/>
      <c r="K371" s="20"/>
      <c r="L371" s="14"/>
      <c r="M371" s="25"/>
      <c r="N371" s="2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6"/>
      <c r="AN371" s="16"/>
      <c r="AO371" s="73"/>
      <c r="AP371" s="124">
        <f t="shared" si="45"/>
        <v>0</v>
      </c>
      <c r="AQ371" s="72"/>
      <c r="AR371" s="72">
        <f t="shared" si="46"/>
        <v>0</v>
      </c>
      <c r="AS371" s="72">
        <f t="shared" si="43"/>
        <v>0</v>
      </c>
      <c r="AT371" s="72"/>
      <c r="AU371" s="72"/>
      <c r="AV371" s="72"/>
      <c r="AW371" s="165"/>
      <c r="AX371" s="72">
        <f t="shared" si="41"/>
        <v>0</v>
      </c>
    </row>
    <row r="372" spans="1:50" ht="25.5" customHeight="1" hidden="1">
      <c r="A372" s="22" t="s">
        <v>43</v>
      </c>
      <c r="B372" s="19" t="s">
        <v>230</v>
      </c>
      <c r="C372" s="20"/>
      <c r="D372" s="20"/>
      <c r="E372" s="20"/>
      <c r="F372" s="20"/>
      <c r="G372" s="20"/>
      <c r="H372" s="20"/>
      <c r="I372" s="20"/>
      <c r="J372" s="20"/>
      <c r="K372" s="20"/>
      <c r="L372" s="14"/>
      <c r="M372" s="25"/>
      <c r="N372" s="2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6"/>
      <c r="AN372" s="16"/>
      <c r="AO372" s="73"/>
      <c r="AP372" s="124">
        <f t="shared" si="45"/>
        <v>0</v>
      </c>
      <c r="AQ372" s="72"/>
      <c r="AR372" s="72">
        <f t="shared" si="46"/>
        <v>0</v>
      </c>
      <c r="AS372" s="72">
        <f t="shared" si="43"/>
        <v>0</v>
      </c>
      <c r="AT372" s="72"/>
      <c r="AU372" s="72"/>
      <c r="AV372" s="72"/>
      <c r="AW372" s="165"/>
      <c r="AX372" s="72">
        <f t="shared" si="41"/>
        <v>0</v>
      </c>
    </row>
    <row r="373" spans="1:50" ht="25.5" customHeight="1" hidden="1">
      <c r="A373" s="22" t="s">
        <v>43</v>
      </c>
      <c r="B373" s="19" t="s">
        <v>231</v>
      </c>
      <c r="C373" s="20"/>
      <c r="D373" s="20"/>
      <c r="E373" s="20"/>
      <c r="F373" s="20"/>
      <c r="G373" s="20"/>
      <c r="H373" s="20"/>
      <c r="I373" s="20"/>
      <c r="J373" s="20"/>
      <c r="K373" s="20"/>
      <c r="L373" s="14"/>
      <c r="M373" s="25"/>
      <c r="N373" s="2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6"/>
      <c r="AN373" s="16"/>
      <c r="AO373" s="73"/>
      <c r="AP373" s="124">
        <f t="shared" si="45"/>
        <v>0</v>
      </c>
      <c r="AQ373" s="72"/>
      <c r="AR373" s="72">
        <f t="shared" si="46"/>
        <v>0</v>
      </c>
      <c r="AS373" s="72">
        <f t="shared" si="43"/>
        <v>0</v>
      </c>
      <c r="AT373" s="72"/>
      <c r="AU373" s="72"/>
      <c r="AV373" s="72"/>
      <c r="AW373" s="165"/>
      <c r="AX373" s="72">
        <f t="shared" si="41"/>
        <v>0</v>
      </c>
    </row>
    <row r="374" spans="1:50" ht="25.5" customHeight="1" hidden="1">
      <c r="A374" s="22" t="s">
        <v>43</v>
      </c>
      <c r="B374" s="19" t="s">
        <v>232</v>
      </c>
      <c r="C374" s="20"/>
      <c r="D374" s="20"/>
      <c r="E374" s="20"/>
      <c r="F374" s="20"/>
      <c r="G374" s="20"/>
      <c r="H374" s="20"/>
      <c r="I374" s="20"/>
      <c r="J374" s="20"/>
      <c r="K374" s="20"/>
      <c r="L374" s="14"/>
      <c r="M374" s="25"/>
      <c r="N374" s="2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6"/>
      <c r="AN374" s="16"/>
      <c r="AO374" s="73"/>
      <c r="AP374" s="124">
        <f t="shared" si="45"/>
        <v>0</v>
      </c>
      <c r="AQ374" s="72"/>
      <c r="AR374" s="72">
        <f t="shared" si="46"/>
        <v>0</v>
      </c>
      <c r="AS374" s="72">
        <f t="shared" si="43"/>
        <v>0</v>
      </c>
      <c r="AT374" s="72"/>
      <c r="AU374" s="72"/>
      <c r="AV374" s="72"/>
      <c r="AW374" s="165"/>
      <c r="AX374" s="72">
        <f t="shared" si="41"/>
        <v>0</v>
      </c>
    </row>
    <row r="375" spans="1:50" ht="25.5" customHeight="1" hidden="1">
      <c r="A375" s="22" t="s">
        <v>43</v>
      </c>
      <c r="B375" s="19" t="s">
        <v>233</v>
      </c>
      <c r="C375" s="20"/>
      <c r="D375" s="20"/>
      <c r="E375" s="20"/>
      <c r="F375" s="20"/>
      <c r="G375" s="20"/>
      <c r="H375" s="20"/>
      <c r="I375" s="20"/>
      <c r="J375" s="20"/>
      <c r="K375" s="20"/>
      <c r="L375" s="14"/>
      <c r="M375" s="25"/>
      <c r="N375" s="2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6"/>
      <c r="AN375" s="16"/>
      <c r="AO375" s="73"/>
      <c r="AP375" s="124">
        <f t="shared" si="45"/>
        <v>0</v>
      </c>
      <c r="AQ375" s="72"/>
      <c r="AR375" s="72">
        <f t="shared" si="46"/>
        <v>0</v>
      </c>
      <c r="AS375" s="72">
        <f t="shared" si="43"/>
        <v>0</v>
      </c>
      <c r="AT375" s="72"/>
      <c r="AU375" s="72"/>
      <c r="AV375" s="72"/>
      <c r="AW375" s="165"/>
      <c r="AX375" s="72">
        <f t="shared" si="41"/>
        <v>0</v>
      </c>
    </row>
    <row r="376" spans="1:50" ht="25.5" customHeight="1" hidden="1">
      <c r="A376" s="22" t="s">
        <v>43</v>
      </c>
      <c r="B376" s="19" t="s">
        <v>234</v>
      </c>
      <c r="C376" s="20"/>
      <c r="D376" s="20"/>
      <c r="E376" s="20"/>
      <c r="F376" s="20"/>
      <c r="G376" s="20"/>
      <c r="H376" s="20"/>
      <c r="I376" s="20"/>
      <c r="J376" s="20"/>
      <c r="K376" s="20"/>
      <c r="L376" s="14"/>
      <c r="M376" s="25"/>
      <c r="N376" s="2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6"/>
      <c r="AN376" s="16"/>
      <c r="AO376" s="73"/>
      <c r="AP376" s="124">
        <f t="shared" si="45"/>
        <v>0</v>
      </c>
      <c r="AQ376" s="72"/>
      <c r="AR376" s="72">
        <f t="shared" si="46"/>
        <v>0</v>
      </c>
      <c r="AS376" s="72">
        <f t="shared" si="43"/>
        <v>0</v>
      </c>
      <c r="AT376" s="72"/>
      <c r="AU376" s="72"/>
      <c r="AV376" s="72"/>
      <c r="AW376" s="165"/>
      <c r="AX376" s="72">
        <f t="shared" si="41"/>
        <v>0</v>
      </c>
    </row>
    <row r="377" spans="1:50" ht="25.5" customHeight="1" hidden="1">
      <c r="A377" s="22" t="s">
        <v>43</v>
      </c>
      <c r="B377" s="19" t="s">
        <v>97</v>
      </c>
      <c r="C377" s="20"/>
      <c r="D377" s="20"/>
      <c r="E377" s="20"/>
      <c r="F377" s="20"/>
      <c r="G377" s="20"/>
      <c r="H377" s="20"/>
      <c r="I377" s="20"/>
      <c r="J377" s="20"/>
      <c r="K377" s="20"/>
      <c r="L377" s="14"/>
      <c r="M377" s="25"/>
      <c r="N377" s="2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6"/>
      <c r="AN377" s="16"/>
      <c r="AO377" s="73"/>
      <c r="AP377" s="124">
        <f t="shared" si="45"/>
        <v>0</v>
      </c>
      <c r="AQ377" s="72"/>
      <c r="AR377" s="72">
        <f t="shared" si="46"/>
        <v>0</v>
      </c>
      <c r="AS377" s="72">
        <f t="shared" si="43"/>
        <v>0</v>
      </c>
      <c r="AT377" s="72"/>
      <c r="AU377" s="72"/>
      <c r="AV377" s="72"/>
      <c r="AW377" s="165"/>
      <c r="AX377" s="72">
        <f t="shared" si="41"/>
        <v>0</v>
      </c>
    </row>
    <row r="378" spans="1:50" ht="25.5" customHeight="1" hidden="1">
      <c r="A378" s="22" t="s">
        <v>43</v>
      </c>
      <c r="B378" s="19" t="s">
        <v>235</v>
      </c>
      <c r="C378" s="20"/>
      <c r="D378" s="20"/>
      <c r="E378" s="20"/>
      <c r="F378" s="20"/>
      <c r="G378" s="20"/>
      <c r="H378" s="20"/>
      <c r="I378" s="20"/>
      <c r="J378" s="20"/>
      <c r="K378" s="20"/>
      <c r="L378" s="14"/>
      <c r="M378" s="25"/>
      <c r="N378" s="2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6"/>
      <c r="AN378" s="16"/>
      <c r="AO378" s="73"/>
      <c r="AP378" s="124">
        <f t="shared" si="45"/>
        <v>0</v>
      </c>
      <c r="AQ378" s="72"/>
      <c r="AR378" s="72">
        <f t="shared" si="46"/>
        <v>0</v>
      </c>
      <c r="AS378" s="72">
        <f t="shared" si="43"/>
        <v>0</v>
      </c>
      <c r="AT378" s="72"/>
      <c r="AU378" s="72"/>
      <c r="AV378" s="72"/>
      <c r="AW378" s="165"/>
      <c r="AX378" s="72">
        <f t="shared" si="41"/>
        <v>0</v>
      </c>
    </row>
    <row r="379" spans="1:50" ht="25.5" customHeight="1" hidden="1">
      <c r="A379" s="22" t="s">
        <v>43</v>
      </c>
      <c r="B379" s="19" t="s">
        <v>236</v>
      </c>
      <c r="C379" s="20"/>
      <c r="D379" s="20"/>
      <c r="E379" s="20"/>
      <c r="F379" s="20"/>
      <c r="G379" s="20"/>
      <c r="H379" s="20"/>
      <c r="I379" s="20"/>
      <c r="J379" s="20"/>
      <c r="K379" s="20"/>
      <c r="L379" s="14"/>
      <c r="M379" s="25"/>
      <c r="N379" s="2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6"/>
      <c r="AN379" s="16"/>
      <c r="AO379" s="73"/>
      <c r="AP379" s="124">
        <f t="shared" si="45"/>
        <v>0</v>
      </c>
      <c r="AQ379" s="72"/>
      <c r="AR379" s="72">
        <f t="shared" si="46"/>
        <v>0</v>
      </c>
      <c r="AS379" s="72">
        <f t="shared" si="43"/>
        <v>0</v>
      </c>
      <c r="AT379" s="72"/>
      <c r="AU379" s="72"/>
      <c r="AV379" s="72"/>
      <c r="AW379" s="165"/>
      <c r="AX379" s="72">
        <f t="shared" si="41"/>
        <v>0</v>
      </c>
    </row>
    <row r="380" spans="1:50" ht="23.25" hidden="1">
      <c r="A380" s="18"/>
      <c r="B380" s="19">
        <v>-2</v>
      </c>
      <c r="C380" s="60"/>
      <c r="D380" s="20" t="s">
        <v>237</v>
      </c>
      <c r="E380" s="20"/>
      <c r="F380" s="20"/>
      <c r="G380" s="20"/>
      <c r="H380" s="20"/>
      <c r="I380" s="20"/>
      <c r="J380" s="20"/>
      <c r="K380" s="20"/>
      <c r="L380" s="14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>
        <v>8058966</v>
      </c>
      <c r="Y380" s="15"/>
      <c r="Z380" s="15"/>
      <c r="AA380" s="15"/>
      <c r="AB380" s="15"/>
      <c r="AC380" s="15"/>
      <c r="AD380" s="15"/>
      <c r="AE380" s="15"/>
      <c r="AF380" s="15">
        <f>3770120</f>
        <v>3770120</v>
      </c>
      <c r="AG380" s="15"/>
      <c r="AH380" s="15"/>
      <c r="AI380" s="15"/>
      <c r="AJ380" s="15"/>
      <c r="AK380" s="15"/>
      <c r="AL380" s="15">
        <v>2046600</v>
      </c>
      <c r="AM380" s="16"/>
      <c r="AN380" s="16"/>
      <c r="AO380" s="73"/>
      <c r="AP380" s="124">
        <f t="shared" si="45"/>
        <v>0</v>
      </c>
      <c r="AQ380" s="72"/>
      <c r="AR380" s="72">
        <f t="shared" si="46"/>
        <v>0</v>
      </c>
      <c r="AS380" s="72">
        <f t="shared" si="43"/>
        <v>0</v>
      </c>
      <c r="AT380" s="72"/>
      <c r="AU380" s="72"/>
      <c r="AV380" s="72"/>
      <c r="AW380" s="165"/>
      <c r="AX380" s="72">
        <f t="shared" si="41"/>
        <v>0</v>
      </c>
    </row>
    <row r="381" spans="1:50" ht="23.25" hidden="1">
      <c r="A381" s="18"/>
      <c r="B381" s="19" t="s">
        <v>238</v>
      </c>
      <c r="C381" s="60"/>
      <c r="D381" s="20" t="s">
        <v>239</v>
      </c>
      <c r="E381" s="20"/>
      <c r="F381" s="20"/>
      <c r="G381" s="20"/>
      <c r="H381" s="20"/>
      <c r="I381" s="20"/>
      <c r="J381" s="20"/>
      <c r="K381" s="20"/>
      <c r="L381" s="14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6"/>
      <c r="AN381" s="16"/>
      <c r="AO381" s="73"/>
      <c r="AP381" s="124">
        <f t="shared" si="45"/>
        <v>0</v>
      </c>
      <c r="AQ381" s="72"/>
      <c r="AR381" s="72">
        <f t="shared" si="46"/>
        <v>0</v>
      </c>
      <c r="AS381" s="72">
        <f aca="true" t="shared" si="47" ref="AS381:AS412">AP381-AQ381</f>
        <v>0</v>
      </c>
      <c r="AT381" s="72"/>
      <c r="AU381" s="72"/>
      <c r="AV381" s="72"/>
      <c r="AW381" s="165"/>
      <c r="AX381" s="72">
        <f t="shared" si="41"/>
        <v>0</v>
      </c>
    </row>
    <row r="382" spans="1:50" ht="23.25" hidden="1">
      <c r="A382" s="18"/>
      <c r="B382" s="19"/>
      <c r="C382" s="60"/>
      <c r="D382" s="20"/>
      <c r="E382" s="20"/>
      <c r="F382" s="20"/>
      <c r="G382" s="20"/>
      <c r="H382" s="20"/>
      <c r="I382" s="20"/>
      <c r="J382" s="20"/>
      <c r="K382" s="20"/>
      <c r="L382" s="14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6"/>
      <c r="AN382" s="16"/>
      <c r="AO382" s="73"/>
      <c r="AP382" s="124">
        <f t="shared" si="45"/>
        <v>0</v>
      </c>
      <c r="AQ382" s="72"/>
      <c r="AR382" s="72">
        <f t="shared" si="46"/>
        <v>0</v>
      </c>
      <c r="AS382" s="72">
        <f t="shared" si="47"/>
        <v>0</v>
      </c>
      <c r="AT382" s="72"/>
      <c r="AU382" s="72"/>
      <c r="AV382" s="72"/>
      <c r="AW382" s="165"/>
      <c r="AX382" s="72">
        <f aca="true" t="shared" si="48" ref="AX382:AX421">AT382+AV382-AU382</f>
        <v>0</v>
      </c>
    </row>
    <row r="383" spans="1:50" ht="23.25" hidden="1">
      <c r="A383" s="52" t="s">
        <v>240</v>
      </c>
      <c r="B383" s="53"/>
      <c r="C383" s="61"/>
      <c r="D383" s="54"/>
      <c r="E383" s="54"/>
      <c r="F383" s="54"/>
      <c r="G383" s="54"/>
      <c r="H383" s="54"/>
      <c r="I383" s="54"/>
      <c r="J383" s="54"/>
      <c r="K383" s="54"/>
      <c r="L383" s="14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6"/>
      <c r="AN383" s="16"/>
      <c r="AO383" s="73"/>
      <c r="AP383" s="124">
        <f t="shared" si="45"/>
        <v>0</v>
      </c>
      <c r="AQ383" s="72"/>
      <c r="AR383" s="72">
        <f t="shared" si="46"/>
        <v>0</v>
      </c>
      <c r="AS383" s="72">
        <f t="shared" si="47"/>
        <v>0</v>
      </c>
      <c r="AT383" s="72"/>
      <c r="AU383" s="72"/>
      <c r="AV383" s="72"/>
      <c r="AW383" s="165"/>
      <c r="AX383" s="72">
        <f t="shared" si="48"/>
        <v>0</v>
      </c>
    </row>
    <row r="384" spans="1:50" ht="23.25" hidden="1">
      <c r="A384" s="52" t="s">
        <v>241</v>
      </c>
      <c r="B384" s="53"/>
      <c r="C384" s="61"/>
      <c r="D384" s="54"/>
      <c r="E384" s="54"/>
      <c r="F384" s="54"/>
      <c r="G384" s="54"/>
      <c r="H384" s="54"/>
      <c r="I384" s="54"/>
      <c r="J384" s="54"/>
      <c r="K384" s="54"/>
      <c r="L384" s="14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6"/>
      <c r="AN384" s="16"/>
      <c r="AO384" s="73"/>
      <c r="AP384" s="124">
        <f t="shared" si="45"/>
        <v>0</v>
      </c>
      <c r="AQ384" s="72"/>
      <c r="AR384" s="72">
        <f t="shared" si="46"/>
        <v>0</v>
      </c>
      <c r="AS384" s="72">
        <f t="shared" si="47"/>
        <v>0</v>
      </c>
      <c r="AT384" s="72"/>
      <c r="AU384" s="72"/>
      <c r="AV384" s="72"/>
      <c r="AW384" s="165"/>
      <c r="AX384" s="72">
        <f t="shared" si="48"/>
        <v>0</v>
      </c>
    </row>
    <row r="385" spans="1:50" ht="23.25" hidden="1">
      <c r="A385" s="18"/>
      <c r="B385" s="19">
        <v>-1</v>
      </c>
      <c r="C385" s="60"/>
      <c r="D385" s="20" t="s">
        <v>242</v>
      </c>
      <c r="E385" s="20"/>
      <c r="F385" s="20"/>
      <c r="G385" s="20"/>
      <c r="H385" s="20"/>
      <c r="I385" s="20"/>
      <c r="J385" s="20"/>
      <c r="K385" s="20"/>
      <c r="L385" s="14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6"/>
      <c r="AN385" s="16"/>
      <c r="AO385" s="73"/>
      <c r="AP385" s="124">
        <f t="shared" si="45"/>
        <v>0</v>
      </c>
      <c r="AQ385" s="72"/>
      <c r="AR385" s="72">
        <f t="shared" si="46"/>
        <v>0</v>
      </c>
      <c r="AS385" s="72">
        <f t="shared" si="47"/>
        <v>0</v>
      </c>
      <c r="AT385" s="72"/>
      <c r="AU385" s="72"/>
      <c r="AV385" s="72"/>
      <c r="AW385" s="165"/>
      <c r="AX385" s="72">
        <f t="shared" si="48"/>
        <v>0</v>
      </c>
    </row>
    <row r="386" spans="1:50" ht="23.25" hidden="1">
      <c r="A386" s="18"/>
      <c r="B386" s="19">
        <v>-2</v>
      </c>
      <c r="C386" s="60"/>
      <c r="D386" s="20" t="s">
        <v>243</v>
      </c>
      <c r="E386" s="24"/>
      <c r="F386" s="24"/>
      <c r="G386" s="24"/>
      <c r="H386" s="62"/>
      <c r="I386" s="62"/>
      <c r="J386" s="24"/>
      <c r="K386" s="20"/>
      <c r="L386" s="14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6"/>
      <c r="AN386" s="16"/>
      <c r="AO386" s="73"/>
      <c r="AP386" s="124">
        <f t="shared" si="45"/>
        <v>0</v>
      </c>
      <c r="AQ386" s="72"/>
      <c r="AR386" s="72">
        <f t="shared" si="46"/>
        <v>0</v>
      </c>
      <c r="AS386" s="72">
        <f t="shared" si="47"/>
        <v>0</v>
      </c>
      <c r="AT386" s="72"/>
      <c r="AU386" s="72"/>
      <c r="AV386" s="72"/>
      <c r="AW386" s="165"/>
      <c r="AX386" s="72">
        <f t="shared" si="48"/>
        <v>0</v>
      </c>
    </row>
    <row r="387" spans="1:50" ht="23.25" hidden="1">
      <c r="A387" s="18"/>
      <c r="B387" s="19"/>
      <c r="C387" s="20"/>
      <c r="D387" s="63" t="s">
        <v>43</v>
      </c>
      <c r="E387" s="62" t="s">
        <v>244</v>
      </c>
      <c r="F387" s="62"/>
      <c r="G387" s="24"/>
      <c r="H387" s="62"/>
      <c r="I387" s="62"/>
      <c r="J387" s="24"/>
      <c r="K387" s="20"/>
      <c r="L387" s="14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6"/>
      <c r="AN387" s="16"/>
      <c r="AO387" s="73"/>
      <c r="AP387" s="124">
        <f t="shared" si="45"/>
        <v>0</v>
      </c>
      <c r="AQ387" s="72"/>
      <c r="AR387" s="72">
        <f t="shared" si="46"/>
        <v>0</v>
      </c>
      <c r="AS387" s="72">
        <f t="shared" si="47"/>
        <v>0</v>
      </c>
      <c r="AT387" s="72"/>
      <c r="AU387" s="72"/>
      <c r="AV387" s="72"/>
      <c r="AW387" s="165"/>
      <c r="AX387" s="72">
        <f t="shared" si="48"/>
        <v>0</v>
      </c>
    </row>
    <row r="388" spans="1:50" ht="23.25" hidden="1">
      <c r="A388" s="18"/>
      <c r="B388" s="19"/>
      <c r="C388" s="20"/>
      <c r="D388" s="63" t="s">
        <v>43</v>
      </c>
      <c r="E388" s="62" t="s">
        <v>245</v>
      </c>
      <c r="F388" s="62"/>
      <c r="G388" s="24"/>
      <c r="H388" s="62"/>
      <c r="I388" s="62"/>
      <c r="J388" s="24"/>
      <c r="K388" s="20"/>
      <c r="L388" s="14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6"/>
      <c r="AN388" s="16"/>
      <c r="AO388" s="73"/>
      <c r="AP388" s="124">
        <f t="shared" si="45"/>
        <v>0</v>
      </c>
      <c r="AQ388" s="72"/>
      <c r="AR388" s="72">
        <f t="shared" si="46"/>
        <v>0</v>
      </c>
      <c r="AS388" s="72">
        <f t="shared" si="47"/>
        <v>0</v>
      </c>
      <c r="AT388" s="72"/>
      <c r="AU388" s="72"/>
      <c r="AV388" s="72"/>
      <c r="AW388" s="165"/>
      <c r="AX388" s="72">
        <f t="shared" si="48"/>
        <v>0</v>
      </c>
    </row>
    <row r="389" spans="1:50" ht="23.25" hidden="1">
      <c r="A389" s="18"/>
      <c r="B389" s="19"/>
      <c r="C389" s="20"/>
      <c r="D389" s="63" t="s">
        <v>43</v>
      </c>
      <c r="E389" s="62" t="s">
        <v>246</v>
      </c>
      <c r="F389" s="62"/>
      <c r="G389" s="24"/>
      <c r="H389" s="62"/>
      <c r="I389" s="62"/>
      <c r="J389" s="24"/>
      <c r="K389" s="20"/>
      <c r="L389" s="14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6"/>
      <c r="AN389" s="16"/>
      <c r="AO389" s="73"/>
      <c r="AP389" s="124">
        <f t="shared" si="45"/>
        <v>0</v>
      </c>
      <c r="AQ389" s="72"/>
      <c r="AR389" s="72">
        <f t="shared" si="46"/>
        <v>0</v>
      </c>
      <c r="AS389" s="72">
        <f t="shared" si="47"/>
        <v>0</v>
      </c>
      <c r="AT389" s="72"/>
      <c r="AU389" s="72"/>
      <c r="AV389" s="72"/>
      <c r="AW389" s="165"/>
      <c r="AX389" s="72">
        <f t="shared" si="48"/>
        <v>0</v>
      </c>
    </row>
    <row r="390" spans="1:50" ht="23.25" hidden="1">
      <c r="A390" s="18"/>
      <c r="B390" s="19"/>
      <c r="C390" s="20"/>
      <c r="D390" s="63" t="s">
        <v>43</v>
      </c>
      <c r="E390" s="62" t="s">
        <v>247</v>
      </c>
      <c r="F390" s="62"/>
      <c r="G390" s="24"/>
      <c r="H390" s="62"/>
      <c r="I390" s="62"/>
      <c r="J390" s="24"/>
      <c r="K390" s="20"/>
      <c r="L390" s="14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6"/>
      <c r="AN390" s="16"/>
      <c r="AO390" s="73"/>
      <c r="AP390" s="124">
        <f t="shared" si="45"/>
        <v>0</v>
      </c>
      <c r="AQ390" s="72"/>
      <c r="AR390" s="72">
        <f t="shared" si="46"/>
        <v>0</v>
      </c>
      <c r="AS390" s="72">
        <f t="shared" si="47"/>
        <v>0</v>
      </c>
      <c r="AT390" s="72"/>
      <c r="AU390" s="72"/>
      <c r="AV390" s="72"/>
      <c r="AW390" s="165"/>
      <c r="AX390" s="72">
        <f t="shared" si="48"/>
        <v>0</v>
      </c>
    </row>
    <row r="391" spans="1:50" ht="23.25" hidden="1">
      <c r="A391" s="18"/>
      <c r="B391" s="19"/>
      <c r="C391" s="20"/>
      <c r="D391" s="63" t="s">
        <v>43</v>
      </c>
      <c r="E391" s="62" t="s">
        <v>248</v>
      </c>
      <c r="F391" s="62"/>
      <c r="G391" s="24"/>
      <c r="H391" s="62"/>
      <c r="I391" s="62"/>
      <c r="J391" s="24"/>
      <c r="K391" s="20"/>
      <c r="L391" s="14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6"/>
      <c r="AN391" s="16"/>
      <c r="AO391" s="73"/>
      <c r="AP391" s="124">
        <f t="shared" si="45"/>
        <v>0</v>
      </c>
      <c r="AQ391" s="72"/>
      <c r="AR391" s="72">
        <f t="shared" si="46"/>
        <v>0</v>
      </c>
      <c r="AS391" s="72">
        <f t="shared" si="47"/>
        <v>0</v>
      </c>
      <c r="AT391" s="72"/>
      <c r="AU391" s="72"/>
      <c r="AV391" s="72"/>
      <c r="AW391" s="165"/>
      <c r="AX391" s="72">
        <f t="shared" si="48"/>
        <v>0</v>
      </c>
    </row>
    <row r="392" spans="1:50" ht="23.25" hidden="1">
      <c r="A392" s="18"/>
      <c r="B392" s="19"/>
      <c r="C392" s="20"/>
      <c r="D392" s="63" t="s">
        <v>43</v>
      </c>
      <c r="E392" s="62" t="s">
        <v>249</v>
      </c>
      <c r="F392" s="62"/>
      <c r="G392" s="24"/>
      <c r="H392" s="62"/>
      <c r="I392" s="62"/>
      <c r="J392" s="24"/>
      <c r="K392" s="20"/>
      <c r="L392" s="14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6"/>
      <c r="AN392" s="16"/>
      <c r="AO392" s="73"/>
      <c r="AP392" s="124">
        <f aca="true" t="shared" si="49" ref="AP392:AP422">N392+AN392-AM392</f>
        <v>0</v>
      </c>
      <c r="AQ392" s="72"/>
      <c r="AR392" s="72">
        <f t="shared" si="46"/>
        <v>0</v>
      </c>
      <c r="AS392" s="72">
        <f t="shared" si="47"/>
        <v>0</v>
      </c>
      <c r="AT392" s="72"/>
      <c r="AU392" s="72"/>
      <c r="AV392" s="72"/>
      <c r="AW392" s="165"/>
      <c r="AX392" s="72">
        <f t="shared" si="48"/>
        <v>0</v>
      </c>
    </row>
    <row r="393" spans="1:50" ht="23.25" hidden="1">
      <c r="A393" s="18"/>
      <c r="B393" s="19"/>
      <c r="C393" s="20"/>
      <c r="D393" s="63" t="s">
        <v>43</v>
      </c>
      <c r="E393" s="62" t="s">
        <v>250</v>
      </c>
      <c r="F393" s="62"/>
      <c r="G393" s="24"/>
      <c r="H393" s="62"/>
      <c r="I393" s="62"/>
      <c r="J393" s="24"/>
      <c r="K393" s="20"/>
      <c r="L393" s="14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6"/>
      <c r="AN393" s="16"/>
      <c r="AO393" s="73"/>
      <c r="AP393" s="124">
        <f t="shared" si="49"/>
        <v>0</v>
      </c>
      <c r="AQ393" s="72"/>
      <c r="AR393" s="72">
        <f t="shared" si="46"/>
        <v>0</v>
      </c>
      <c r="AS393" s="72">
        <f t="shared" si="47"/>
        <v>0</v>
      </c>
      <c r="AT393" s="72"/>
      <c r="AU393" s="72"/>
      <c r="AV393" s="72"/>
      <c r="AW393" s="165"/>
      <c r="AX393" s="72">
        <f t="shared" si="48"/>
        <v>0</v>
      </c>
    </row>
    <row r="394" spans="1:50" ht="23.25" hidden="1">
      <c r="A394" s="18"/>
      <c r="B394" s="19"/>
      <c r="C394" s="20"/>
      <c r="D394" s="63" t="s">
        <v>43</v>
      </c>
      <c r="E394" s="62" t="s">
        <v>251</v>
      </c>
      <c r="F394" s="62"/>
      <c r="G394" s="24"/>
      <c r="H394" s="62"/>
      <c r="I394" s="62"/>
      <c r="J394" s="24"/>
      <c r="K394" s="20"/>
      <c r="L394" s="14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6"/>
      <c r="AN394" s="16"/>
      <c r="AO394" s="73"/>
      <c r="AP394" s="124">
        <f t="shared" si="49"/>
        <v>0</v>
      </c>
      <c r="AQ394" s="72"/>
      <c r="AR394" s="72">
        <f t="shared" si="46"/>
        <v>0</v>
      </c>
      <c r="AS394" s="72">
        <f t="shared" si="47"/>
        <v>0</v>
      </c>
      <c r="AT394" s="72"/>
      <c r="AU394" s="72"/>
      <c r="AV394" s="72"/>
      <c r="AW394" s="165"/>
      <c r="AX394" s="72">
        <f t="shared" si="48"/>
        <v>0</v>
      </c>
    </row>
    <row r="395" spans="1:50" ht="23.25" hidden="1">
      <c r="A395" s="18"/>
      <c r="B395" s="19"/>
      <c r="C395" s="20"/>
      <c r="D395" s="63" t="s">
        <v>43</v>
      </c>
      <c r="E395" s="62"/>
      <c r="F395" s="62"/>
      <c r="G395" s="24"/>
      <c r="H395" s="62"/>
      <c r="I395" s="62"/>
      <c r="J395" s="24"/>
      <c r="K395" s="20"/>
      <c r="L395" s="14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6"/>
      <c r="AN395" s="16"/>
      <c r="AO395" s="73"/>
      <c r="AP395" s="124">
        <f t="shared" si="49"/>
        <v>0</v>
      </c>
      <c r="AQ395" s="72"/>
      <c r="AR395" s="72">
        <f t="shared" si="46"/>
        <v>0</v>
      </c>
      <c r="AS395" s="72">
        <f t="shared" si="47"/>
        <v>0</v>
      </c>
      <c r="AT395" s="72"/>
      <c r="AU395" s="72"/>
      <c r="AV395" s="72"/>
      <c r="AW395" s="165"/>
      <c r="AX395" s="72">
        <f t="shared" si="48"/>
        <v>0</v>
      </c>
    </row>
    <row r="396" spans="1:50" ht="23.25" hidden="1">
      <c r="A396" s="18"/>
      <c r="B396" s="19"/>
      <c r="C396" s="20"/>
      <c r="D396" s="63" t="s">
        <v>43</v>
      </c>
      <c r="E396" s="62"/>
      <c r="F396" s="62"/>
      <c r="G396" s="24"/>
      <c r="H396" s="62"/>
      <c r="I396" s="62"/>
      <c r="J396" s="24"/>
      <c r="K396" s="20"/>
      <c r="L396" s="14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6"/>
      <c r="AN396" s="16"/>
      <c r="AO396" s="73"/>
      <c r="AP396" s="124">
        <f t="shared" si="49"/>
        <v>0</v>
      </c>
      <c r="AQ396" s="72"/>
      <c r="AR396" s="72">
        <f t="shared" si="46"/>
        <v>0</v>
      </c>
      <c r="AS396" s="72">
        <f t="shared" si="47"/>
        <v>0</v>
      </c>
      <c r="AT396" s="72"/>
      <c r="AU396" s="72"/>
      <c r="AV396" s="72"/>
      <c r="AW396" s="165"/>
      <c r="AX396" s="72">
        <f t="shared" si="48"/>
        <v>0</v>
      </c>
    </row>
    <row r="397" spans="1:50" ht="23.25" hidden="1">
      <c r="A397" s="18"/>
      <c r="B397" s="19"/>
      <c r="C397" s="20"/>
      <c r="D397" s="63" t="s">
        <v>43</v>
      </c>
      <c r="E397" s="62"/>
      <c r="F397" s="62"/>
      <c r="G397" s="24"/>
      <c r="H397" s="24"/>
      <c r="I397" s="62"/>
      <c r="J397" s="24"/>
      <c r="K397" s="20"/>
      <c r="L397" s="14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6"/>
      <c r="AN397" s="16"/>
      <c r="AO397" s="73"/>
      <c r="AP397" s="124">
        <f t="shared" si="49"/>
        <v>0</v>
      </c>
      <c r="AQ397" s="72"/>
      <c r="AR397" s="72">
        <f aca="true" t="shared" si="50" ref="AR397:AR420">SUM(AP397:AQ397)</f>
        <v>0</v>
      </c>
      <c r="AS397" s="72">
        <f t="shared" si="47"/>
        <v>0</v>
      </c>
      <c r="AT397" s="72"/>
      <c r="AU397" s="72"/>
      <c r="AV397" s="72"/>
      <c r="AW397" s="165"/>
      <c r="AX397" s="72">
        <f t="shared" si="48"/>
        <v>0</v>
      </c>
    </row>
    <row r="398" spans="1:50" ht="23.25" hidden="1">
      <c r="A398" s="18"/>
      <c r="B398" s="19"/>
      <c r="C398" s="20"/>
      <c r="D398" s="20"/>
      <c r="E398" s="24"/>
      <c r="F398" s="24"/>
      <c r="G398" s="24"/>
      <c r="H398" s="24"/>
      <c r="I398" s="62"/>
      <c r="J398" s="24"/>
      <c r="K398" s="20"/>
      <c r="L398" s="14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6"/>
      <c r="AN398" s="16"/>
      <c r="AO398" s="73"/>
      <c r="AP398" s="124">
        <f t="shared" si="49"/>
        <v>0</v>
      </c>
      <c r="AQ398" s="72"/>
      <c r="AR398" s="72">
        <f t="shared" si="50"/>
        <v>0</v>
      </c>
      <c r="AS398" s="72">
        <f t="shared" si="47"/>
        <v>0</v>
      </c>
      <c r="AT398" s="72"/>
      <c r="AU398" s="72"/>
      <c r="AV398" s="72"/>
      <c r="AW398" s="165"/>
      <c r="AX398" s="72">
        <f t="shared" si="48"/>
        <v>0</v>
      </c>
    </row>
    <row r="399" spans="1:50" ht="23.25" hidden="1">
      <c r="A399" s="18"/>
      <c r="B399" s="19"/>
      <c r="C399" s="20"/>
      <c r="D399" s="20"/>
      <c r="E399" s="24"/>
      <c r="F399" s="24"/>
      <c r="G399" s="24"/>
      <c r="H399" s="24"/>
      <c r="I399" s="62"/>
      <c r="J399" s="24"/>
      <c r="K399" s="20"/>
      <c r="L399" s="14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6"/>
      <c r="AN399" s="16"/>
      <c r="AO399" s="73"/>
      <c r="AP399" s="124">
        <f t="shared" si="49"/>
        <v>0</v>
      </c>
      <c r="AQ399" s="72"/>
      <c r="AR399" s="72">
        <f t="shared" si="50"/>
        <v>0</v>
      </c>
      <c r="AS399" s="72">
        <f t="shared" si="47"/>
        <v>0</v>
      </c>
      <c r="AT399" s="72"/>
      <c r="AU399" s="72"/>
      <c r="AV399" s="72"/>
      <c r="AW399" s="165"/>
      <c r="AX399" s="72">
        <f t="shared" si="48"/>
        <v>0</v>
      </c>
    </row>
    <row r="400" spans="1:50" ht="23.25" hidden="1">
      <c r="A400" s="18"/>
      <c r="B400" s="19"/>
      <c r="C400" s="20"/>
      <c r="D400" s="20"/>
      <c r="E400" s="24"/>
      <c r="F400" s="24"/>
      <c r="G400" s="24"/>
      <c r="H400" s="24"/>
      <c r="I400" s="62"/>
      <c r="J400" s="24"/>
      <c r="K400" s="20"/>
      <c r="L400" s="14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6"/>
      <c r="AN400" s="16"/>
      <c r="AO400" s="73"/>
      <c r="AP400" s="124">
        <f t="shared" si="49"/>
        <v>0</v>
      </c>
      <c r="AQ400" s="72"/>
      <c r="AR400" s="72">
        <f t="shared" si="50"/>
        <v>0</v>
      </c>
      <c r="AS400" s="72">
        <f t="shared" si="47"/>
        <v>0</v>
      </c>
      <c r="AT400" s="72"/>
      <c r="AU400" s="72"/>
      <c r="AV400" s="72"/>
      <c r="AW400" s="165"/>
      <c r="AX400" s="72">
        <f t="shared" si="48"/>
        <v>0</v>
      </c>
    </row>
    <row r="401" spans="1:50" ht="23.25" hidden="1">
      <c r="A401" s="18"/>
      <c r="B401" s="19"/>
      <c r="C401" s="20"/>
      <c r="D401" s="20"/>
      <c r="E401" s="24"/>
      <c r="F401" s="24"/>
      <c r="G401" s="24"/>
      <c r="H401" s="24"/>
      <c r="I401" s="62"/>
      <c r="J401" s="24"/>
      <c r="K401" s="20"/>
      <c r="L401" s="14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6"/>
      <c r="AN401" s="16"/>
      <c r="AO401" s="73"/>
      <c r="AP401" s="124">
        <f t="shared" si="49"/>
        <v>0</v>
      </c>
      <c r="AQ401" s="72"/>
      <c r="AR401" s="72">
        <f t="shared" si="50"/>
        <v>0</v>
      </c>
      <c r="AS401" s="72">
        <f t="shared" si="47"/>
        <v>0</v>
      </c>
      <c r="AT401" s="72"/>
      <c r="AU401" s="72"/>
      <c r="AV401" s="72"/>
      <c r="AW401" s="165"/>
      <c r="AX401" s="72">
        <f t="shared" si="48"/>
        <v>0</v>
      </c>
    </row>
    <row r="402" spans="1:50" ht="23.25" hidden="1">
      <c r="A402" s="18"/>
      <c r="B402" s="19"/>
      <c r="C402" s="20"/>
      <c r="D402" s="20"/>
      <c r="E402" s="24"/>
      <c r="F402" s="24"/>
      <c r="G402" s="24"/>
      <c r="H402" s="24"/>
      <c r="I402" s="62"/>
      <c r="J402" s="24"/>
      <c r="K402" s="20"/>
      <c r="L402" s="14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6"/>
      <c r="AN402" s="16"/>
      <c r="AO402" s="73"/>
      <c r="AP402" s="124">
        <f t="shared" si="49"/>
        <v>0</v>
      </c>
      <c r="AQ402" s="72"/>
      <c r="AR402" s="72">
        <f t="shared" si="50"/>
        <v>0</v>
      </c>
      <c r="AS402" s="72">
        <f t="shared" si="47"/>
        <v>0</v>
      </c>
      <c r="AT402" s="72"/>
      <c r="AU402" s="72"/>
      <c r="AV402" s="72"/>
      <c r="AW402" s="165"/>
      <c r="AX402" s="72">
        <f t="shared" si="48"/>
        <v>0</v>
      </c>
    </row>
    <row r="403" spans="1:50" ht="23.25" hidden="1">
      <c r="A403" s="18"/>
      <c r="B403" s="19"/>
      <c r="C403" s="20"/>
      <c r="D403" s="20"/>
      <c r="E403" s="24"/>
      <c r="F403" s="24"/>
      <c r="G403" s="24"/>
      <c r="H403" s="24"/>
      <c r="I403" s="62"/>
      <c r="J403" s="24"/>
      <c r="K403" s="20"/>
      <c r="L403" s="14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6"/>
      <c r="AN403" s="16"/>
      <c r="AO403" s="73"/>
      <c r="AP403" s="124">
        <f t="shared" si="49"/>
        <v>0</v>
      </c>
      <c r="AQ403" s="72"/>
      <c r="AR403" s="72">
        <f t="shared" si="50"/>
        <v>0</v>
      </c>
      <c r="AS403" s="72">
        <f t="shared" si="47"/>
        <v>0</v>
      </c>
      <c r="AT403" s="72"/>
      <c r="AU403" s="72"/>
      <c r="AV403" s="72"/>
      <c r="AW403" s="165"/>
      <c r="AX403" s="72">
        <f t="shared" si="48"/>
        <v>0</v>
      </c>
    </row>
    <row r="404" spans="1:50" ht="23.25" hidden="1">
      <c r="A404" s="18"/>
      <c r="B404" s="19"/>
      <c r="C404" s="20"/>
      <c r="D404" s="20"/>
      <c r="E404" s="24"/>
      <c r="F404" s="24"/>
      <c r="G404" s="24"/>
      <c r="H404" s="24"/>
      <c r="I404" s="62"/>
      <c r="J404" s="24"/>
      <c r="K404" s="20"/>
      <c r="L404" s="14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6"/>
      <c r="AN404" s="16"/>
      <c r="AO404" s="73"/>
      <c r="AP404" s="124">
        <f t="shared" si="49"/>
        <v>0</v>
      </c>
      <c r="AQ404" s="72"/>
      <c r="AR404" s="72">
        <f t="shared" si="50"/>
        <v>0</v>
      </c>
      <c r="AS404" s="72">
        <f t="shared" si="47"/>
        <v>0</v>
      </c>
      <c r="AT404" s="72"/>
      <c r="AU404" s="72"/>
      <c r="AV404" s="72"/>
      <c r="AW404" s="165"/>
      <c r="AX404" s="72">
        <f t="shared" si="48"/>
        <v>0</v>
      </c>
    </row>
    <row r="405" spans="1:50" ht="23.25" hidden="1">
      <c r="A405" s="18"/>
      <c r="B405" s="19"/>
      <c r="C405" s="20"/>
      <c r="D405" s="20"/>
      <c r="E405" s="24"/>
      <c r="F405" s="24"/>
      <c r="G405" s="24"/>
      <c r="H405" s="24"/>
      <c r="I405" s="62"/>
      <c r="J405" s="24"/>
      <c r="K405" s="20"/>
      <c r="L405" s="14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6"/>
      <c r="AN405" s="16"/>
      <c r="AO405" s="73"/>
      <c r="AP405" s="124">
        <f t="shared" si="49"/>
        <v>0</v>
      </c>
      <c r="AQ405" s="72"/>
      <c r="AR405" s="72">
        <f t="shared" si="50"/>
        <v>0</v>
      </c>
      <c r="AS405" s="72">
        <f t="shared" si="47"/>
        <v>0</v>
      </c>
      <c r="AT405" s="72"/>
      <c r="AU405" s="72"/>
      <c r="AV405" s="72"/>
      <c r="AW405" s="165"/>
      <c r="AX405" s="72">
        <f t="shared" si="48"/>
        <v>0</v>
      </c>
    </row>
    <row r="406" spans="1:50" ht="23.25" hidden="1">
      <c r="A406" s="18"/>
      <c r="B406" s="19"/>
      <c r="C406" s="20"/>
      <c r="D406" s="20"/>
      <c r="E406" s="24"/>
      <c r="F406" s="24"/>
      <c r="G406" s="24"/>
      <c r="H406" s="24"/>
      <c r="I406" s="62"/>
      <c r="J406" s="24"/>
      <c r="K406" s="20"/>
      <c r="L406" s="14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6"/>
      <c r="AN406" s="16"/>
      <c r="AO406" s="73"/>
      <c r="AP406" s="124">
        <f t="shared" si="49"/>
        <v>0</v>
      </c>
      <c r="AQ406" s="72"/>
      <c r="AR406" s="72">
        <f t="shared" si="50"/>
        <v>0</v>
      </c>
      <c r="AS406" s="72">
        <f t="shared" si="47"/>
        <v>0</v>
      </c>
      <c r="AT406" s="72"/>
      <c r="AU406" s="72"/>
      <c r="AV406" s="72"/>
      <c r="AW406" s="165"/>
      <c r="AX406" s="72">
        <f t="shared" si="48"/>
        <v>0</v>
      </c>
    </row>
    <row r="407" spans="1:50" ht="23.25" hidden="1">
      <c r="A407" s="18"/>
      <c r="B407" s="19"/>
      <c r="C407" s="20"/>
      <c r="D407" s="20"/>
      <c r="E407" s="24"/>
      <c r="F407" s="24"/>
      <c r="G407" s="24"/>
      <c r="H407" s="24"/>
      <c r="I407" s="62"/>
      <c r="J407" s="24"/>
      <c r="K407" s="20"/>
      <c r="L407" s="14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6"/>
      <c r="AN407" s="16"/>
      <c r="AO407" s="73"/>
      <c r="AP407" s="124">
        <f t="shared" si="49"/>
        <v>0</v>
      </c>
      <c r="AQ407" s="72"/>
      <c r="AR407" s="72">
        <f t="shared" si="50"/>
        <v>0</v>
      </c>
      <c r="AS407" s="72">
        <f t="shared" si="47"/>
        <v>0</v>
      </c>
      <c r="AT407" s="72"/>
      <c r="AU407" s="72"/>
      <c r="AV407" s="72"/>
      <c r="AW407" s="165"/>
      <c r="AX407" s="72">
        <f t="shared" si="48"/>
        <v>0</v>
      </c>
    </row>
    <row r="408" spans="1:50" ht="23.25" hidden="1">
      <c r="A408" s="18"/>
      <c r="B408" s="19"/>
      <c r="C408" s="20"/>
      <c r="D408" s="20"/>
      <c r="E408" s="24"/>
      <c r="F408" s="24"/>
      <c r="G408" s="24"/>
      <c r="H408" s="24"/>
      <c r="I408" s="62"/>
      <c r="J408" s="24"/>
      <c r="K408" s="20"/>
      <c r="L408" s="14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6"/>
      <c r="AN408" s="16"/>
      <c r="AO408" s="73"/>
      <c r="AP408" s="124">
        <f t="shared" si="49"/>
        <v>0</v>
      </c>
      <c r="AQ408" s="72"/>
      <c r="AR408" s="72">
        <f t="shared" si="50"/>
        <v>0</v>
      </c>
      <c r="AS408" s="72">
        <f t="shared" si="47"/>
        <v>0</v>
      </c>
      <c r="AT408" s="72"/>
      <c r="AU408" s="72"/>
      <c r="AV408" s="72"/>
      <c r="AW408" s="165"/>
      <c r="AX408" s="72">
        <f t="shared" si="48"/>
        <v>0</v>
      </c>
    </row>
    <row r="409" spans="1:50" ht="23.25" hidden="1">
      <c r="A409" s="18"/>
      <c r="B409" s="19"/>
      <c r="C409" s="20"/>
      <c r="D409" s="20"/>
      <c r="E409" s="24"/>
      <c r="F409" s="24"/>
      <c r="G409" s="24"/>
      <c r="H409" s="24"/>
      <c r="I409" s="62"/>
      <c r="J409" s="24"/>
      <c r="K409" s="20"/>
      <c r="L409" s="14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6"/>
      <c r="AN409" s="16"/>
      <c r="AO409" s="73"/>
      <c r="AP409" s="124">
        <f t="shared" si="49"/>
        <v>0</v>
      </c>
      <c r="AQ409" s="72"/>
      <c r="AR409" s="72">
        <f t="shared" si="50"/>
        <v>0</v>
      </c>
      <c r="AS409" s="72">
        <f t="shared" si="47"/>
        <v>0</v>
      </c>
      <c r="AT409" s="72"/>
      <c r="AU409" s="72"/>
      <c r="AV409" s="72"/>
      <c r="AW409" s="165"/>
      <c r="AX409" s="72">
        <f t="shared" si="48"/>
        <v>0</v>
      </c>
    </row>
    <row r="410" spans="1:50" ht="23.25" hidden="1">
      <c r="A410" s="18"/>
      <c r="B410" s="19"/>
      <c r="C410" s="20"/>
      <c r="D410" s="20"/>
      <c r="E410" s="24"/>
      <c r="F410" s="24"/>
      <c r="G410" s="24"/>
      <c r="H410" s="24"/>
      <c r="I410" s="62"/>
      <c r="J410" s="24"/>
      <c r="K410" s="20"/>
      <c r="L410" s="14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6"/>
      <c r="AN410" s="16"/>
      <c r="AO410" s="73"/>
      <c r="AP410" s="124">
        <f t="shared" si="49"/>
        <v>0</v>
      </c>
      <c r="AQ410" s="72"/>
      <c r="AR410" s="72">
        <f t="shared" si="50"/>
        <v>0</v>
      </c>
      <c r="AS410" s="72">
        <f t="shared" si="47"/>
        <v>0</v>
      </c>
      <c r="AT410" s="72"/>
      <c r="AU410" s="72"/>
      <c r="AV410" s="72"/>
      <c r="AW410" s="165"/>
      <c r="AX410" s="72">
        <f t="shared" si="48"/>
        <v>0</v>
      </c>
    </row>
    <row r="411" spans="1:50" ht="23.25" hidden="1">
      <c r="A411" s="18"/>
      <c r="B411" s="19"/>
      <c r="C411" s="20"/>
      <c r="D411" s="20"/>
      <c r="E411" s="24"/>
      <c r="F411" s="24"/>
      <c r="G411" s="24"/>
      <c r="H411" s="24"/>
      <c r="I411" s="62"/>
      <c r="J411" s="24"/>
      <c r="K411" s="20"/>
      <c r="L411" s="14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6"/>
      <c r="AN411" s="16"/>
      <c r="AO411" s="73"/>
      <c r="AP411" s="124">
        <f t="shared" si="49"/>
        <v>0</v>
      </c>
      <c r="AQ411" s="72"/>
      <c r="AR411" s="72">
        <f t="shared" si="50"/>
        <v>0</v>
      </c>
      <c r="AS411" s="72">
        <f t="shared" si="47"/>
        <v>0</v>
      </c>
      <c r="AT411" s="72"/>
      <c r="AU411" s="72"/>
      <c r="AV411" s="72"/>
      <c r="AW411" s="165"/>
      <c r="AX411" s="72">
        <f t="shared" si="48"/>
        <v>0</v>
      </c>
    </row>
    <row r="412" spans="1:50" ht="23.25" hidden="1">
      <c r="A412" s="18"/>
      <c r="B412" s="19"/>
      <c r="C412" s="20"/>
      <c r="D412" s="20"/>
      <c r="E412" s="24"/>
      <c r="F412" s="24"/>
      <c r="G412" s="24"/>
      <c r="H412" s="24"/>
      <c r="I412" s="62"/>
      <c r="J412" s="24"/>
      <c r="K412" s="20"/>
      <c r="L412" s="14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6"/>
      <c r="AN412" s="16"/>
      <c r="AO412" s="73"/>
      <c r="AP412" s="124">
        <f t="shared" si="49"/>
        <v>0</v>
      </c>
      <c r="AQ412" s="72"/>
      <c r="AR412" s="72">
        <f t="shared" si="50"/>
        <v>0</v>
      </c>
      <c r="AS412" s="72">
        <f t="shared" si="47"/>
        <v>0</v>
      </c>
      <c r="AT412" s="72"/>
      <c r="AU412" s="72"/>
      <c r="AV412" s="72"/>
      <c r="AW412" s="165"/>
      <c r="AX412" s="72">
        <f t="shared" si="48"/>
        <v>0</v>
      </c>
    </row>
    <row r="413" spans="1:50" ht="23.25" hidden="1">
      <c r="A413" s="18"/>
      <c r="B413" s="19"/>
      <c r="C413" s="20"/>
      <c r="D413" s="20"/>
      <c r="E413" s="24"/>
      <c r="F413" s="24"/>
      <c r="G413" s="24"/>
      <c r="H413" s="24"/>
      <c r="I413" s="62"/>
      <c r="J413" s="24"/>
      <c r="K413" s="20"/>
      <c r="L413" s="14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6"/>
      <c r="AN413" s="16"/>
      <c r="AO413" s="73"/>
      <c r="AP413" s="124">
        <f t="shared" si="49"/>
        <v>0</v>
      </c>
      <c r="AQ413" s="72"/>
      <c r="AR413" s="72">
        <f t="shared" si="50"/>
        <v>0</v>
      </c>
      <c r="AS413" s="72">
        <f aca="true" t="shared" si="51" ref="AS413:AS421">AP413-AQ413</f>
        <v>0</v>
      </c>
      <c r="AT413" s="72"/>
      <c r="AU413" s="72"/>
      <c r="AV413" s="72"/>
      <c r="AW413" s="165"/>
      <c r="AX413" s="72">
        <f t="shared" si="48"/>
        <v>0</v>
      </c>
    </row>
    <row r="414" spans="1:50" ht="23.25" hidden="1">
      <c r="A414" s="18"/>
      <c r="B414" s="19"/>
      <c r="C414" s="20"/>
      <c r="D414" s="20"/>
      <c r="E414" s="24"/>
      <c r="F414" s="24"/>
      <c r="G414" s="24"/>
      <c r="H414" s="24"/>
      <c r="I414" s="62"/>
      <c r="J414" s="24"/>
      <c r="K414" s="20"/>
      <c r="L414" s="14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6"/>
      <c r="AN414" s="16"/>
      <c r="AO414" s="73"/>
      <c r="AP414" s="124">
        <f t="shared" si="49"/>
        <v>0</v>
      </c>
      <c r="AQ414" s="72"/>
      <c r="AR414" s="72">
        <f t="shared" si="50"/>
        <v>0</v>
      </c>
      <c r="AS414" s="72">
        <f t="shared" si="51"/>
        <v>0</v>
      </c>
      <c r="AT414" s="72"/>
      <c r="AU414" s="72"/>
      <c r="AV414" s="72"/>
      <c r="AW414" s="165"/>
      <c r="AX414" s="72">
        <f t="shared" si="48"/>
        <v>0</v>
      </c>
    </row>
    <row r="415" spans="1:50" ht="23.25" hidden="1">
      <c r="A415" s="18"/>
      <c r="B415" s="19"/>
      <c r="C415" s="20"/>
      <c r="D415" s="20"/>
      <c r="E415" s="24"/>
      <c r="F415" s="24"/>
      <c r="G415" s="24"/>
      <c r="H415" s="24"/>
      <c r="I415" s="62"/>
      <c r="J415" s="24"/>
      <c r="K415" s="20"/>
      <c r="L415" s="14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6"/>
      <c r="AN415" s="16"/>
      <c r="AO415" s="73"/>
      <c r="AP415" s="124">
        <f t="shared" si="49"/>
        <v>0</v>
      </c>
      <c r="AQ415" s="72"/>
      <c r="AR415" s="72">
        <f t="shared" si="50"/>
        <v>0</v>
      </c>
      <c r="AS415" s="72">
        <f t="shared" si="51"/>
        <v>0</v>
      </c>
      <c r="AT415" s="72"/>
      <c r="AU415" s="72"/>
      <c r="AV415" s="72"/>
      <c r="AW415" s="165"/>
      <c r="AX415" s="72">
        <f t="shared" si="48"/>
        <v>0</v>
      </c>
    </row>
    <row r="416" spans="1:50" ht="23.25" hidden="1">
      <c r="A416" s="18"/>
      <c r="B416" s="19"/>
      <c r="C416" s="20"/>
      <c r="D416" s="20"/>
      <c r="E416" s="24"/>
      <c r="F416" s="24"/>
      <c r="G416" s="24"/>
      <c r="H416" s="24"/>
      <c r="I416" s="62"/>
      <c r="J416" s="24"/>
      <c r="K416" s="20"/>
      <c r="L416" s="14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6"/>
      <c r="AN416" s="16"/>
      <c r="AO416" s="73"/>
      <c r="AP416" s="124">
        <f t="shared" si="49"/>
        <v>0</v>
      </c>
      <c r="AQ416" s="72"/>
      <c r="AR416" s="72">
        <f t="shared" si="50"/>
        <v>0</v>
      </c>
      <c r="AS416" s="72">
        <f t="shared" si="51"/>
        <v>0</v>
      </c>
      <c r="AT416" s="72"/>
      <c r="AU416" s="72"/>
      <c r="AV416" s="72"/>
      <c r="AW416" s="165"/>
      <c r="AX416" s="72">
        <f t="shared" si="48"/>
        <v>0</v>
      </c>
    </row>
    <row r="417" spans="1:50" ht="23.25" hidden="1">
      <c r="A417" s="18"/>
      <c r="B417" s="19"/>
      <c r="C417" s="20"/>
      <c r="D417" s="20"/>
      <c r="E417" s="24"/>
      <c r="F417" s="24"/>
      <c r="G417" s="24"/>
      <c r="H417" s="24"/>
      <c r="I417" s="62"/>
      <c r="J417" s="24"/>
      <c r="K417" s="20"/>
      <c r="L417" s="14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6"/>
      <c r="AN417" s="16"/>
      <c r="AO417" s="73"/>
      <c r="AP417" s="124">
        <f t="shared" si="49"/>
        <v>0</v>
      </c>
      <c r="AQ417" s="72"/>
      <c r="AR417" s="72">
        <f t="shared" si="50"/>
        <v>0</v>
      </c>
      <c r="AS417" s="72">
        <f t="shared" si="51"/>
        <v>0</v>
      </c>
      <c r="AT417" s="72"/>
      <c r="AU417" s="72"/>
      <c r="AV417" s="72"/>
      <c r="AW417" s="165"/>
      <c r="AX417" s="72">
        <f t="shared" si="48"/>
        <v>0</v>
      </c>
    </row>
    <row r="418" spans="1:50" ht="23.25" hidden="1">
      <c r="A418" s="18"/>
      <c r="B418" s="19"/>
      <c r="C418" s="20"/>
      <c r="D418" s="20"/>
      <c r="E418" s="24"/>
      <c r="F418" s="24"/>
      <c r="G418" s="24"/>
      <c r="H418" s="24"/>
      <c r="I418" s="62"/>
      <c r="J418" s="24"/>
      <c r="K418" s="20"/>
      <c r="L418" s="14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6"/>
      <c r="AN418" s="16"/>
      <c r="AO418" s="73"/>
      <c r="AP418" s="124">
        <f t="shared" si="49"/>
        <v>0</v>
      </c>
      <c r="AQ418" s="72"/>
      <c r="AR418" s="72">
        <f t="shared" si="50"/>
        <v>0</v>
      </c>
      <c r="AS418" s="72">
        <f t="shared" si="51"/>
        <v>0</v>
      </c>
      <c r="AT418" s="72"/>
      <c r="AU418" s="72"/>
      <c r="AV418" s="72"/>
      <c r="AW418" s="165"/>
      <c r="AX418" s="72">
        <f t="shared" si="48"/>
        <v>0</v>
      </c>
    </row>
    <row r="419" spans="1:50" ht="23.25" hidden="1">
      <c r="A419" s="18"/>
      <c r="B419" s="19"/>
      <c r="C419" s="20"/>
      <c r="D419" s="20"/>
      <c r="E419" s="24"/>
      <c r="F419" s="24"/>
      <c r="G419" s="24"/>
      <c r="H419" s="24"/>
      <c r="I419" s="62"/>
      <c r="J419" s="24"/>
      <c r="K419" s="20"/>
      <c r="L419" s="14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6"/>
      <c r="AN419" s="16"/>
      <c r="AO419" s="73"/>
      <c r="AP419" s="124">
        <f t="shared" si="49"/>
        <v>0</v>
      </c>
      <c r="AQ419" s="72"/>
      <c r="AR419" s="72">
        <f t="shared" si="50"/>
        <v>0</v>
      </c>
      <c r="AS419" s="72">
        <f t="shared" si="51"/>
        <v>0</v>
      </c>
      <c r="AT419" s="72"/>
      <c r="AU419" s="72"/>
      <c r="AV419" s="72"/>
      <c r="AW419" s="165"/>
      <c r="AX419" s="72">
        <f t="shared" si="48"/>
        <v>0</v>
      </c>
    </row>
    <row r="420" spans="1:50" ht="23.25" hidden="1">
      <c r="A420" s="64"/>
      <c r="B420" s="65"/>
      <c r="C420" s="66"/>
      <c r="D420" s="66"/>
      <c r="E420" s="67"/>
      <c r="F420" s="67"/>
      <c r="G420" s="67"/>
      <c r="H420" s="67"/>
      <c r="I420" s="68"/>
      <c r="J420" s="67"/>
      <c r="K420" s="66"/>
      <c r="L420" s="14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6"/>
      <c r="AN420" s="16"/>
      <c r="AO420" s="73"/>
      <c r="AP420" s="124">
        <f t="shared" si="49"/>
        <v>0</v>
      </c>
      <c r="AQ420" s="72"/>
      <c r="AR420" s="72">
        <f t="shared" si="50"/>
        <v>0</v>
      </c>
      <c r="AS420" s="72">
        <f t="shared" si="51"/>
        <v>0</v>
      </c>
      <c r="AT420" s="72"/>
      <c r="AU420" s="72"/>
      <c r="AV420" s="72"/>
      <c r="AW420" s="165"/>
      <c r="AX420" s="72">
        <f t="shared" si="48"/>
        <v>0</v>
      </c>
    </row>
    <row r="421" spans="1:50" ht="23.25">
      <c r="A421" s="176"/>
      <c r="B421" s="155">
        <v>-2</v>
      </c>
      <c r="C421" s="156"/>
      <c r="D421" s="156" t="s">
        <v>274</v>
      </c>
      <c r="E421" s="179"/>
      <c r="F421" s="179"/>
      <c r="G421" s="179"/>
      <c r="H421" s="179"/>
      <c r="I421" s="180"/>
      <c r="J421" s="179"/>
      <c r="K421" s="156"/>
      <c r="L421" s="157"/>
      <c r="M421" s="158"/>
      <c r="N421" s="158">
        <v>373822</v>
      </c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9">
        <v>26997.5</v>
      </c>
      <c r="AN421" s="159">
        <f>22800+48044</f>
        <v>70844</v>
      </c>
      <c r="AO421" s="181"/>
      <c r="AP421" s="182">
        <f t="shared" si="49"/>
        <v>417668.5</v>
      </c>
      <c r="AQ421" s="177">
        <v>417668.5</v>
      </c>
      <c r="AR421" s="177"/>
      <c r="AS421" s="177">
        <f t="shared" si="51"/>
        <v>0</v>
      </c>
      <c r="AT421" s="177">
        <v>90000</v>
      </c>
      <c r="AU421" s="177"/>
      <c r="AV421" s="177"/>
      <c r="AW421" s="178"/>
      <c r="AX421" s="177">
        <f t="shared" si="48"/>
        <v>90000</v>
      </c>
    </row>
    <row r="422" spans="1:51" s="39" customFormat="1" ht="30" customHeight="1">
      <c r="A422" s="200" t="s">
        <v>252</v>
      </c>
      <c r="B422" s="201"/>
      <c r="C422" s="201"/>
      <c r="D422" s="201"/>
      <c r="E422" s="201"/>
      <c r="F422" s="201"/>
      <c r="G422" s="201"/>
      <c r="H422" s="201"/>
      <c r="I422" s="201"/>
      <c r="J422" s="201"/>
      <c r="K422" s="201"/>
      <c r="L422" s="38"/>
      <c r="M422" s="74">
        <f>SUM(M250:M420)</f>
        <v>0</v>
      </c>
      <c r="N422" s="74">
        <f aca="true" t="shared" si="52" ref="N422:AN422">SUM(N253:N421)</f>
        <v>21221160.05</v>
      </c>
      <c r="O422" s="74">
        <f t="shared" si="52"/>
        <v>0</v>
      </c>
      <c r="P422" s="74">
        <f t="shared" si="52"/>
        <v>86807.68</v>
      </c>
      <c r="Q422" s="74">
        <f t="shared" si="52"/>
        <v>0</v>
      </c>
      <c r="R422" s="74">
        <f t="shared" si="52"/>
        <v>61243.3</v>
      </c>
      <c r="S422" s="74">
        <f t="shared" si="52"/>
        <v>0</v>
      </c>
      <c r="T422" s="74">
        <f t="shared" si="52"/>
        <v>1048403.06</v>
      </c>
      <c r="U422" s="74">
        <f t="shared" si="52"/>
        <v>463000</v>
      </c>
      <c r="V422" s="74">
        <f t="shared" si="52"/>
        <v>3017334.6100000003</v>
      </c>
      <c r="W422" s="74">
        <f t="shared" si="52"/>
        <v>0</v>
      </c>
      <c r="X422" s="74">
        <f t="shared" si="52"/>
        <v>9451396.24</v>
      </c>
      <c r="Y422" s="74">
        <f t="shared" si="52"/>
        <v>0</v>
      </c>
      <c r="Z422" s="74">
        <f t="shared" si="52"/>
        <v>322038.7</v>
      </c>
      <c r="AA422" s="74">
        <f t="shared" si="52"/>
        <v>0</v>
      </c>
      <c r="AB422" s="74">
        <f t="shared" si="52"/>
        <v>949055.3300000001</v>
      </c>
      <c r="AC422" s="74">
        <f t="shared" si="52"/>
        <v>0</v>
      </c>
      <c r="AD422" s="74">
        <f t="shared" si="52"/>
        <v>2165886.0999999996</v>
      </c>
      <c r="AE422" s="74">
        <f t="shared" si="52"/>
        <v>480000</v>
      </c>
      <c r="AF422" s="74">
        <f t="shared" si="52"/>
        <v>6554105.98</v>
      </c>
      <c r="AG422" s="74">
        <f t="shared" si="52"/>
        <v>0</v>
      </c>
      <c r="AH422" s="74">
        <f t="shared" si="52"/>
        <v>2293035.66</v>
      </c>
      <c r="AI422" s="74">
        <f t="shared" si="52"/>
        <v>6533.29</v>
      </c>
      <c r="AJ422" s="74">
        <f t="shared" si="52"/>
        <v>1117705.28</v>
      </c>
      <c r="AK422" s="74">
        <f t="shared" si="52"/>
        <v>933821.59</v>
      </c>
      <c r="AL422" s="74">
        <f t="shared" si="52"/>
        <v>8013037.2700000005</v>
      </c>
      <c r="AM422" s="74">
        <f t="shared" si="52"/>
        <v>26997.5</v>
      </c>
      <c r="AN422" s="74">
        <f t="shared" si="52"/>
        <v>234372.36</v>
      </c>
      <c r="AO422" s="75">
        <f>SUM(AO250:AO420)</f>
        <v>0</v>
      </c>
      <c r="AP422" s="162">
        <f t="shared" si="49"/>
        <v>21428534.91</v>
      </c>
      <c r="AQ422" s="75">
        <f aca="true" t="shared" si="53" ref="AQ422:AX422">SUM(AQ253:AQ421)</f>
        <v>21428534.909999996</v>
      </c>
      <c r="AR422" s="161">
        <f t="shared" si="53"/>
        <v>0</v>
      </c>
      <c r="AS422" s="75">
        <f t="shared" si="53"/>
        <v>0</v>
      </c>
      <c r="AT422" s="75">
        <f t="shared" si="53"/>
        <v>7895032.57</v>
      </c>
      <c r="AU422" s="75">
        <f t="shared" si="53"/>
        <v>0</v>
      </c>
      <c r="AV422" s="75">
        <f t="shared" si="53"/>
        <v>145208.37</v>
      </c>
      <c r="AW422" s="75">
        <f t="shared" si="53"/>
        <v>0</v>
      </c>
      <c r="AX422" s="75">
        <f t="shared" si="53"/>
        <v>8040240.9399999995</v>
      </c>
      <c r="AY422" s="186">
        <v>8143625.94</v>
      </c>
    </row>
    <row r="423" spans="1:51" s="39" customFormat="1" ht="30" customHeight="1">
      <c r="A423" s="216" t="s">
        <v>93</v>
      </c>
      <c r="B423" s="216"/>
      <c r="C423" s="216"/>
      <c r="D423" s="216"/>
      <c r="E423" s="216"/>
      <c r="F423" s="216"/>
      <c r="G423" s="216"/>
      <c r="H423" s="216"/>
      <c r="I423" s="216"/>
      <c r="J423" s="216"/>
      <c r="K423" s="216"/>
      <c r="L423" s="152"/>
      <c r="M423" s="74">
        <f aca="true" t="shared" si="54" ref="M423:AQ423">M422+M249</f>
        <v>21780051.57</v>
      </c>
      <c r="N423" s="74">
        <f t="shared" si="54"/>
        <v>41034719.629999995</v>
      </c>
      <c r="O423" s="74">
        <f t="shared" si="54"/>
        <v>4671292.95</v>
      </c>
      <c r="P423" s="74">
        <f t="shared" si="54"/>
        <v>5400476.7</v>
      </c>
      <c r="Q423" s="74">
        <f t="shared" si="54"/>
        <v>3138200.02</v>
      </c>
      <c r="R423" s="74">
        <f t="shared" si="54"/>
        <v>4449326.74</v>
      </c>
      <c r="S423" s="74">
        <f t="shared" si="54"/>
        <v>11139717.03</v>
      </c>
      <c r="T423" s="74">
        <f t="shared" si="54"/>
        <v>12186882.82</v>
      </c>
      <c r="U423" s="74">
        <f t="shared" si="54"/>
        <v>7003209.29</v>
      </c>
      <c r="V423" s="74">
        <f t="shared" si="54"/>
        <v>9112295.46</v>
      </c>
      <c r="W423" s="74">
        <f t="shared" si="54"/>
        <v>28583950.82</v>
      </c>
      <c r="X423" s="74">
        <f t="shared" si="54"/>
        <v>29573049</v>
      </c>
      <c r="Y423" s="74">
        <f t="shared" si="54"/>
        <v>40144216.61</v>
      </c>
      <c r="Z423" s="74">
        <f t="shared" si="54"/>
        <v>41972572.35</v>
      </c>
      <c r="AA423" s="74">
        <f t="shared" si="54"/>
        <v>3666563.02</v>
      </c>
      <c r="AB423" s="74">
        <f t="shared" si="54"/>
        <v>4997246.26</v>
      </c>
      <c r="AC423" s="74">
        <f t="shared" si="54"/>
        <v>12778277.92</v>
      </c>
      <c r="AD423" s="74">
        <f t="shared" si="54"/>
        <v>17547221</v>
      </c>
      <c r="AE423" s="74">
        <f t="shared" si="54"/>
        <v>17403081.37</v>
      </c>
      <c r="AF423" s="74">
        <f t="shared" si="54"/>
        <v>18597720.41</v>
      </c>
      <c r="AG423" s="74">
        <f t="shared" si="54"/>
        <v>5917713.33</v>
      </c>
      <c r="AH423" s="74">
        <f t="shared" si="54"/>
        <v>8272124.800000001</v>
      </c>
      <c r="AI423" s="74">
        <f t="shared" si="54"/>
        <v>9340412.37</v>
      </c>
      <c r="AJ423" s="74">
        <f t="shared" si="54"/>
        <v>12161533.65</v>
      </c>
      <c r="AK423" s="74">
        <f t="shared" si="54"/>
        <v>63780988.510000005</v>
      </c>
      <c r="AL423" s="74">
        <f t="shared" si="54"/>
        <v>74920781.28</v>
      </c>
      <c r="AM423" s="74">
        <f t="shared" si="54"/>
        <v>26997.5</v>
      </c>
      <c r="AN423" s="74">
        <f t="shared" si="54"/>
        <v>234372.36</v>
      </c>
      <c r="AO423" s="75">
        <f t="shared" si="54"/>
        <v>20795695.680000003</v>
      </c>
      <c r="AP423" s="75">
        <f t="shared" si="54"/>
        <v>42085842.44</v>
      </c>
      <c r="AQ423" s="75">
        <f t="shared" si="54"/>
        <v>21428534.909999996</v>
      </c>
      <c r="AR423" s="75"/>
      <c r="AS423" s="75">
        <f aca="true" t="shared" si="55" ref="AS423:AX423">AS422+AS249</f>
        <v>23257790.19</v>
      </c>
      <c r="AT423" s="75">
        <f t="shared" si="55"/>
        <v>27096055.05</v>
      </c>
      <c r="AU423" s="75">
        <f t="shared" si="55"/>
        <v>1766343.6400000001</v>
      </c>
      <c r="AV423" s="75">
        <f t="shared" si="55"/>
        <v>3190523.9400000004</v>
      </c>
      <c r="AW423" s="75">
        <f t="shared" si="55"/>
        <v>22002203.12</v>
      </c>
      <c r="AX423" s="185">
        <f t="shared" si="55"/>
        <v>27264648.28</v>
      </c>
      <c r="AY423" s="186">
        <f>+AY422-AX422</f>
        <v>103385.00000000093</v>
      </c>
    </row>
    <row r="424" spans="1:51" s="39" customFormat="1" ht="30" customHeight="1">
      <c r="A424" s="216" t="s">
        <v>2</v>
      </c>
      <c r="B424" s="216"/>
      <c r="C424" s="216"/>
      <c r="D424" s="216"/>
      <c r="E424" s="216"/>
      <c r="F424" s="216"/>
      <c r="G424" s="216"/>
      <c r="H424" s="216"/>
      <c r="I424" s="216"/>
      <c r="J424" s="216"/>
      <c r="K424" s="216"/>
      <c r="L424" s="152"/>
      <c r="M424" s="74">
        <f aca="true" t="shared" si="56" ref="M424:AQ424">M423</f>
        <v>21780051.57</v>
      </c>
      <c r="N424" s="74">
        <f t="shared" si="56"/>
        <v>41034719.629999995</v>
      </c>
      <c r="O424" s="74">
        <f t="shared" si="56"/>
        <v>4671292.95</v>
      </c>
      <c r="P424" s="74">
        <f t="shared" si="56"/>
        <v>5400476.7</v>
      </c>
      <c r="Q424" s="74">
        <f t="shared" si="56"/>
        <v>3138200.02</v>
      </c>
      <c r="R424" s="74">
        <f t="shared" si="56"/>
        <v>4449326.74</v>
      </c>
      <c r="S424" s="74">
        <f t="shared" si="56"/>
        <v>11139717.03</v>
      </c>
      <c r="T424" s="74">
        <f t="shared" si="56"/>
        <v>12186882.82</v>
      </c>
      <c r="U424" s="74">
        <f t="shared" si="56"/>
        <v>7003209.29</v>
      </c>
      <c r="V424" s="74">
        <f t="shared" si="56"/>
        <v>9112295.46</v>
      </c>
      <c r="W424" s="74">
        <f t="shared" si="56"/>
        <v>28583950.82</v>
      </c>
      <c r="X424" s="74">
        <f t="shared" si="56"/>
        <v>29573049</v>
      </c>
      <c r="Y424" s="74">
        <f t="shared" si="56"/>
        <v>40144216.61</v>
      </c>
      <c r="Z424" s="74">
        <f t="shared" si="56"/>
        <v>41972572.35</v>
      </c>
      <c r="AA424" s="74">
        <f t="shared" si="56"/>
        <v>3666563.02</v>
      </c>
      <c r="AB424" s="74">
        <f t="shared" si="56"/>
        <v>4997246.26</v>
      </c>
      <c r="AC424" s="74">
        <f t="shared" si="56"/>
        <v>12778277.92</v>
      </c>
      <c r="AD424" s="74">
        <f t="shared" si="56"/>
        <v>17547221</v>
      </c>
      <c r="AE424" s="74">
        <f t="shared" si="56"/>
        <v>17403081.37</v>
      </c>
      <c r="AF424" s="74">
        <f t="shared" si="56"/>
        <v>18597720.41</v>
      </c>
      <c r="AG424" s="74">
        <f t="shared" si="56"/>
        <v>5917713.33</v>
      </c>
      <c r="AH424" s="74">
        <f t="shared" si="56"/>
        <v>8272124.800000001</v>
      </c>
      <c r="AI424" s="74">
        <f t="shared" si="56"/>
        <v>9340412.37</v>
      </c>
      <c r="AJ424" s="74">
        <f t="shared" si="56"/>
        <v>12161533.65</v>
      </c>
      <c r="AK424" s="74">
        <f t="shared" si="56"/>
        <v>63780988.510000005</v>
      </c>
      <c r="AL424" s="74">
        <f t="shared" si="56"/>
        <v>74920781.28</v>
      </c>
      <c r="AM424" s="74">
        <f t="shared" si="56"/>
        <v>26997.5</v>
      </c>
      <c r="AN424" s="74">
        <f t="shared" si="56"/>
        <v>234372.36</v>
      </c>
      <c r="AO424" s="75">
        <f t="shared" si="56"/>
        <v>20795695.680000003</v>
      </c>
      <c r="AP424" s="75">
        <f t="shared" si="56"/>
        <v>42085842.44</v>
      </c>
      <c r="AQ424" s="75">
        <f t="shared" si="56"/>
        <v>21428534.909999996</v>
      </c>
      <c r="AR424" s="75"/>
      <c r="AS424" s="75">
        <f aca="true" t="shared" si="57" ref="AS424:AX424">AS423</f>
        <v>23257790.19</v>
      </c>
      <c r="AT424" s="75">
        <f t="shared" si="57"/>
        <v>27096055.05</v>
      </c>
      <c r="AU424" s="75">
        <f t="shared" si="57"/>
        <v>1766343.6400000001</v>
      </c>
      <c r="AV424" s="75">
        <f t="shared" si="57"/>
        <v>3190523.9400000004</v>
      </c>
      <c r="AW424" s="75">
        <f t="shared" si="57"/>
        <v>22002203.12</v>
      </c>
      <c r="AX424" s="185">
        <f t="shared" si="57"/>
        <v>27264648.28</v>
      </c>
      <c r="AY424" s="186" t="e">
        <f>+AY423+#REF!</f>
        <v>#REF!</v>
      </c>
    </row>
    <row r="425" spans="1:50" ht="29.25">
      <c r="A425" s="198" t="s">
        <v>253</v>
      </c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89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6"/>
      <c r="AN425" s="86"/>
      <c r="AO425" s="86"/>
      <c r="AP425" s="137"/>
      <c r="AQ425" s="85"/>
      <c r="AR425" s="85"/>
      <c r="AS425" s="85"/>
      <c r="AT425" s="85"/>
      <c r="AU425" s="72"/>
      <c r="AV425" s="72"/>
      <c r="AW425" s="165"/>
      <c r="AX425" s="72"/>
    </row>
    <row r="426" spans="1:50" ht="23.25">
      <c r="A426" s="153" t="s">
        <v>254</v>
      </c>
      <c r="B426" s="53"/>
      <c r="C426" s="54"/>
      <c r="D426" s="54"/>
      <c r="E426" s="54"/>
      <c r="F426" s="54"/>
      <c r="G426" s="54"/>
      <c r="H426" s="54"/>
      <c r="I426" s="54"/>
      <c r="J426" s="54"/>
      <c r="K426" s="54"/>
      <c r="L426" s="14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6"/>
      <c r="AN426" s="16"/>
      <c r="AO426" s="16">
        <f aca="true" t="shared" si="58" ref="AO426:AO450">M426+AM426-AN426</f>
        <v>0</v>
      </c>
      <c r="AP426" s="128"/>
      <c r="AQ426" s="15"/>
      <c r="AR426" s="15"/>
      <c r="AS426" s="15"/>
      <c r="AT426" s="15"/>
      <c r="AU426" s="72"/>
      <c r="AV426" s="72"/>
      <c r="AW426" s="165"/>
      <c r="AX426" s="72"/>
    </row>
    <row r="427" spans="1:50" ht="23.25" hidden="1">
      <c r="A427" s="52" t="s">
        <v>255</v>
      </c>
      <c r="B427" s="53"/>
      <c r="C427" s="54"/>
      <c r="D427" s="54"/>
      <c r="E427" s="54"/>
      <c r="F427" s="54"/>
      <c r="G427" s="54"/>
      <c r="H427" s="54"/>
      <c r="I427" s="54"/>
      <c r="J427" s="54"/>
      <c r="K427" s="54"/>
      <c r="L427" s="14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6"/>
      <c r="AN427" s="16"/>
      <c r="AO427" s="16">
        <f t="shared" si="58"/>
        <v>0</v>
      </c>
      <c r="AP427" s="128"/>
      <c r="AQ427" s="15"/>
      <c r="AR427" s="15"/>
      <c r="AS427" s="15"/>
      <c r="AT427" s="15"/>
      <c r="AU427" s="72"/>
      <c r="AV427" s="72"/>
      <c r="AW427" s="165"/>
      <c r="AX427" s="72"/>
    </row>
    <row r="428" spans="1:50" ht="23.25" hidden="1">
      <c r="A428" s="52" t="s">
        <v>256</v>
      </c>
      <c r="B428" s="53"/>
      <c r="C428" s="54"/>
      <c r="D428" s="54"/>
      <c r="E428" s="54"/>
      <c r="F428" s="54"/>
      <c r="G428" s="54"/>
      <c r="H428" s="54"/>
      <c r="I428" s="54"/>
      <c r="J428" s="54"/>
      <c r="K428" s="54"/>
      <c r="L428" s="14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6"/>
      <c r="AN428" s="16"/>
      <c r="AO428" s="16">
        <f t="shared" si="58"/>
        <v>0</v>
      </c>
      <c r="AP428" s="128"/>
      <c r="AQ428" s="15"/>
      <c r="AR428" s="15"/>
      <c r="AS428" s="15"/>
      <c r="AT428" s="15"/>
      <c r="AU428" s="72"/>
      <c r="AV428" s="72"/>
      <c r="AW428" s="165"/>
      <c r="AX428" s="72"/>
    </row>
    <row r="429" spans="1:50" ht="23.25" hidden="1">
      <c r="A429" s="52" t="s">
        <v>257</v>
      </c>
      <c r="B429" s="53"/>
      <c r="C429" s="54"/>
      <c r="D429" s="54"/>
      <c r="E429" s="54"/>
      <c r="F429" s="54"/>
      <c r="G429" s="54"/>
      <c r="H429" s="54"/>
      <c r="I429" s="54"/>
      <c r="J429" s="54"/>
      <c r="K429" s="54"/>
      <c r="L429" s="14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6"/>
      <c r="AN429" s="16"/>
      <c r="AO429" s="16">
        <f t="shared" si="58"/>
        <v>0</v>
      </c>
      <c r="AP429" s="128"/>
      <c r="AQ429" s="15"/>
      <c r="AR429" s="15"/>
      <c r="AS429" s="15"/>
      <c r="AT429" s="15"/>
      <c r="AU429" s="72"/>
      <c r="AV429" s="72"/>
      <c r="AW429" s="165"/>
      <c r="AX429" s="72"/>
    </row>
    <row r="430" spans="1:50" ht="23.25">
      <c r="A430" s="18" t="s">
        <v>5</v>
      </c>
      <c r="B430" s="19"/>
      <c r="C430" s="54"/>
      <c r="D430" s="54"/>
      <c r="E430" s="54"/>
      <c r="F430" s="54"/>
      <c r="G430" s="54"/>
      <c r="H430" s="54"/>
      <c r="I430" s="54"/>
      <c r="J430" s="54"/>
      <c r="K430" s="54"/>
      <c r="L430" s="14"/>
      <c r="M430" s="15">
        <v>1970710</v>
      </c>
      <c r="N430" s="15"/>
      <c r="O430" s="15"/>
      <c r="P430" s="15"/>
      <c r="Q430" s="15">
        <v>7729</v>
      </c>
      <c r="R430" s="15"/>
      <c r="S430" s="15">
        <v>11131</v>
      </c>
      <c r="T430" s="15"/>
      <c r="U430" s="15">
        <v>53782</v>
      </c>
      <c r="V430" s="15"/>
      <c r="W430" s="15">
        <v>10190</v>
      </c>
      <c r="X430" s="15"/>
      <c r="Y430" s="15">
        <f>10190</f>
        <v>10190</v>
      </c>
      <c r="Z430" s="15"/>
      <c r="AA430" s="15">
        <f>11582+56712.33</f>
        <v>68294.33</v>
      </c>
      <c r="AB430" s="15"/>
      <c r="AC430" s="15">
        <v>11586</v>
      </c>
      <c r="AD430" s="15"/>
      <c r="AE430" s="15">
        <f>46485.86+172972.6</f>
        <v>219458.46000000002</v>
      </c>
      <c r="AF430" s="15"/>
      <c r="AG430" s="15">
        <f>10194+85068.49</f>
        <v>95262.49</v>
      </c>
      <c r="AH430" s="15"/>
      <c r="AI430" s="15">
        <f>470374+409356.23</f>
        <v>879730.23</v>
      </c>
      <c r="AJ430" s="15"/>
      <c r="AK430" s="15">
        <f>320388+175808.22+87041.1</f>
        <v>583237.32</v>
      </c>
      <c r="AL430" s="15"/>
      <c r="AM430" s="16">
        <f>33000+86881+33000</f>
        <v>152881</v>
      </c>
      <c r="AN430" s="16"/>
      <c r="AO430" s="16">
        <f t="shared" si="58"/>
        <v>2123591</v>
      </c>
      <c r="AP430" s="128"/>
      <c r="AQ430" s="15"/>
      <c r="AR430" s="15">
        <v>2123591</v>
      </c>
      <c r="AS430" s="15">
        <v>557724</v>
      </c>
      <c r="AT430" s="15"/>
      <c r="AU430" s="72">
        <f>1029.5+144376+65500</f>
        <v>210905.5</v>
      </c>
      <c r="AV430" s="72"/>
      <c r="AW430" s="15">
        <f>AS430+AU430-AV430</f>
        <v>768629.5</v>
      </c>
      <c r="AX430" s="72"/>
    </row>
    <row r="431" spans="1:50" ht="23.25" hidden="1">
      <c r="A431" s="18"/>
      <c r="B431" s="19">
        <v>-1</v>
      </c>
      <c r="C431" s="21"/>
      <c r="D431" s="20"/>
      <c r="E431" s="20"/>
      <c r="F431" s="20"/>
      <c r="G431" s="20"/>
      <c r="H431" s="20"/>
      <c r="I431" s="20"/>
      <c r="J431" s="20"/>
      <c r="K431" s="20"/>
      <c r="L431" s="14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6"/>
      <c r="AN431" s="16"/>
      <c r="AO431" s="16">
        <f t="shared" si="58"/>
        <v>0</v>
      </c>
      <c r="AP431" s="128"/>
      <c r="AQ431" s="15"/>
      <c r="AR431" s="15"/>
      <c r="AS431" s="15"/>
      <c r="AT431" s="15"/>
      <c r="AU431" s="72"/>
      <c r="AV431" s="72"/>
      <c r="AW431" s="15">
        <f aca="true" t="shared" si="59" ref="AW431:AW486">AS431+AU431-AV431</f>
        <v>0</v>
      </c>
      <c r="AX431" s="72"/>
    </row>
    <row r="432" spans="1:50" ht="23.25" hidden="1">
      <c r="A432" s="18"/>
      <c r="B432" s="19">
        <v>-2</v>
      </c>
      <c r="C432" s="21"/>
      <c r="D432" s="20"/>
      <c r="E432" s="20"/>
      <c r="F432" s="20"/>
      <c r="G432" s="20"/>
      <c r="H432" s="20"/>
      <c r="I432" s="20"/>
      <c r="J432" s="20"/>
      <c r="K432" s="20"/>
      <c r="L432" s="14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6"/>
      <c r="AN432" s="16"/>
      <c r="AO432" s="16">
        <f t="shared" si="58"/>
        <v>0</v>
      </c>
      <c r="AP432" s="128"/>
      <c r="AQ432" s="15"/>
      <c r="AR432" s="15"/>
      <c r="AS432" s="15"/>
      <c r="AT432" s="15"/>
      <c r="AU432" s="72"/>
      <c r="AV432" s="72"/>
      <c r="AW432" s="15">
        <f t="shared" si="59"/>
        <v>0</v>
      </c>
      <c r="AX432" s="72"/>
    </row>
    <row r="433" spans="1:50" ht="23.25" hidden="1">
      <c r="A433" s="18"/>
      <c r="B433" s="19">
        <v>-3</v>
      </c>
      <c r="C433" s="21"/>
      <c r="D433" s="20"/>
      <c r="E433" s="20"/>
      <c r="F433" s="20"/>
      <c r="G433" s="20"/>
      <c r="H433" s="20"/>
      <c r="I433" s="20"/>
      <c r="J433" s="20"/>
      <c r="K433" s="20"/>
      <c r="L433" s="14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6"/>
      <c r="AN433" s="16"/>
      <c r="AO433" s="16">
        <f t="shared" si="58"/>
        <v>0</v>
      </c>
      <c r="AP433" s="128"/>
      <c r="AQ433" s="15"/>
      <c r="AR433" s="15"/>
      <c r="AS433" s="15"/>
      <c r="AT433" s="15"/>
      <c r="AU433" s="72"/>
      <c r="AV433" s="72"/>
      <c r="AW433" s="15">
        <f t="shared" si="59"/>
        <v>0</v>
      </c>
      <c r="AX433" s="72"/>
    </row>
    <row r="434" spans="1:50" ht="23.25" hidden="1">
      <c r="A434" s="18"/>
      <c r="B434" s="19">
        <v>-4</v>
      </c>
      <c r="C434" s="21"/>
      <c r="D434" s="20"/>
      <c r="E434" s="20"/>
      <c r="F434" s="20"/>
      <c r="G434" s="20"/>
      <c r="H434" s="20"/>
      <c r="I434" s="20"/>
      <c r="J434" s="20"/>
      <c r="K434" s="20"/>
      <c r="L434" s="14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6"/>
      <c r="AN434" s="16"/>
      <c r="AO434" s="16">
        <f t="shared" si="58"/>
        <v>0</v>
      </c>
      <c r="AP434" s="128"/>
      <c r="AQ434" s="15"/>
      <c r="AR434" s="15"/>
      <c r="AS434" s="15"/>
      <c r="AT434" s="15"/>
      <c r="AU434" s="72"/>
      <c r="AV434" s="72"/>
      <c r="AW434" s="15">
        <f t="shared" si="59"/>
        <v>0</v>
      </c>
      <c r="AX434" s="72"/>
    </row>
    <row r="435" spans="1:50" ht="23.25" hidden="1">
      <c r="A435" s="18"/>
      <c r="B435" s="19">
        <v>-5</v>
      </c>
      <c r="C435" s="21"/>
      <c r="D435" s="20"/>
      <c r="E435" s="20"/>
      <c r="F435" s="20"/>
      <c r="G435" s="20"/>
      <c r="H435" s="20"/>
      <c r="I435" s="20"/>
      <c r="J435" s="20"/>
      <c r="K435" s="20"/>
      <c r="L435" s="14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6"/>
      <c r="AN435" s="16"/>
      <c r="AO435" s="16">
        <f t="shared" si="58"/>
        <v>0</v>
      </c>
      <c r="AP435" s="128"/>
      <c r="AQ435" s="15"/>
      <c r="AR435" s="15"/>
      <c r="AS435" s="15"/>
      <c r="AT435" s="15"/>
      <c r="AU435" s="72"/>
      <c r="AV435" s="72"/>
      <c r="AW435" s="15">
        <f t="shared" si="59"/>
        <v>0</v>
      </c>
      <c r="AX435" s="72"/>
    </row>
    <row r="436" spans="1:50" ht="23.25" hidden="1">
      <c r="A436" s="18"/>
      <c r="B436" s="19">
        <v>-6</v>
      </c>
      <c r="C436" s="21"/>
      <c r="D436" s="20"/>
      <c r="E436" s="20"/>
      <c r="F436" s="20"/>
      <c r="G436" s="20"/>
      <c r="H436" s="20"/>
      <c r="I436" s="20"/>
      <c r="J436" s="20"/>
      <c r="K436" s="20"/>
      <c r="L436" s="14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6"/>
      <c r="AN436" s="16"/>
      <c r="AO436" s="16">
        <f t="shared" si="58"/>
        <v>0</v>
      </c>
      <c r="AP436" s="128"/>
      <c r="AQ436" s="15"/>
      <c r="AR436" s="15"/>
      <c r="AS436" s="15"/>
      <c r="AT436" s="15"/>
      <c r="AU436" s="72"/>
      <c r="AV436" s="72"/>
      <c r="AW436" s="15">
        <f t="shared" si="59"/>
        <v>0</v>
      </c>
      <c r="AX436" s="72"/>
    </row>
    <row r="437" spans="1:50" ht="23.25" hidden="1">
      <c r="A437" s="18"/>
      <c r="B437" s="19">
        <v>-7</v>
      </c>
      <c r="C437" s="21"/>
      <c r="D437" s="20"/>
      <c r="E437" s="20"/>
      <c r="F437" s="20"/>
      <c r="G437" s="20"/>
      <c r="H437" s="20"/>
      <c r="I437" s="20"/>
      <c r="J437" s="20"/>
      <c r="K437" s="20"/>
      <c r="L437" s="14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6"/>
      <c r="AN437" s="16"/>
      <c r="AO437" s="16">
        <f t="shared" si="58"/>
        <v>0</v>
      </c>
      <c r="AP437" s="128"/>
      <c r="AQ437" s="15"/>
      <c r="AR437" s="15"/>
      <c r="AS437" s="15"/>
      <c r="AT437" s="15"/>
      <c r="AU437" s="72"/>
      <c r="AV437" s="72"/>
      <c r="AW437" s="15">
        <f t="shared" si="59"/>
        <v>0</v>
      </c>
      <c r="AX437" s="72"/>
    </row>
    <row r="438" spans="1:50" ht="23.25" hidden="1">
      <c r="A438" s="18"/>
      <c r="B438" s="19">
        <v>-8</v>
      </c>
      <c r="C438" s="21"/>
      <c r="D438" s="20"/>
      <c r="E438" s="20"/>
      <c r="F438" s="20"/>
      <c r="G438" s="20"/>
      <c r="H438" s="20"/>
      <c r="I438" s="20"/>
      <c r="J438" s="20"/>
      <c r="K438" s="20"/>
      <c r="L438" s="14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6"/>
      <c r="AN438" s="16"/>
      <c r="AO438" s="16">
        <f t="shared" si="58"/>
        <v>0</v>
      </c>
      <c r="AP438" s="128"/>
      <c r="AQ438" s="15"/>
      <c r="AR438" s="15"/>
      <c r="AS438" s="15"/>
      <c r="AT438" s="15"/>
      <c r="AU438" s="72"/>
      <c r="AV438" s="72"/>
      <c r="AW438" s="15">
        <f t="shared" si="59"/>
        <v>0</v>
      </c>
      <c r="AX438" s="72"/>
    </row>
    <row r="439" spans="1:50" ht="23.25" hidden="1">
      <c r="A439" s="18"/>
      <c r="B439" s="19">
        <v>-9</v>
      </c>
      <c r="C439" s="21"/>
      <c r="D439" s="20"/>
      <c r="E439" s="20"/>
      <c r="F439" s="20"/>
      <c r="G439" s="20"/>
      <c r="H439" s="20"/>
      <c r="I439" s="20"/>
      <c r="J439" s="20"/>
      <c r="K439" s="20"/>
      <c r="L439" s="14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6"/>
      <c r="AN439" s="16"/>
      <c r="AO439" s="16">
        <f t="shared" si="58"/>
        <v>0</v>
      </c>
      <c r="AP439" s="128"/>
      <c r="AQ439" s="15"/>
      <c r="AR439" s="15"/>
      <c r="AS439" s="15"/>
      <c r="AT439" s="15"/>
      <c r="AU439" s="72"/>
      <c r="AV439" s="72"/>
      <c r="AW439" s="15">
        <f t="shared" si="59"/>
        <v>0</v>
      </c>
      <c r="AX439" s="72"/>
    </row>
    <row r="440" spans="1:50" ht="23.25" hidden="1">
      <c r="A440" s="18"/>
      <c r="B440" s="19"/>
      <c r="C440" s="20"/>
      <c r="D440" s="20"/>
      <c r="E440" s="20"/>
      <c r="F440" s="20"/>
      <c r="G440" s="20"/>
      <c r="H440" s="20"/>
      <c r="I440" s="20"/>
      <c r="J440" s="20"/>
      <c r="K440" s="20"/>
      <c r="L440" s="14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6"/>
      <c r="AN440" s="16"/>
      <c r="AO440" s="16">
        <f t="shared" si="58"/>
        <v>0</v>
      </c>
      <c r="AP440" s="128"/>
      <c r="AQ440" s="15"/>
      <c r="AR440" s="15"/>
      <c r="AS440" s="15"/>
      <c r="AT440" s="15"/>
      <c r="AU440" s="72"/>
      <c r="AV440" s="72"/>
      <c r="AW440" s="15">
        <f t="shared" si="59"/>
        <v>0</v>
      </c>
      <c r="AX440" s="72"/>
    </row>
    <row r="441" spans="1:50" ht="23.25">
      <c r="A441" s="18" t="s">
        <v>285</v>
      </c>
      <c r="B441" s="19"/>
      <c r="C441" s="54"/>
      <c r="D441" s="54"/>
      <c r="E441" s="54"/>
      <c r="F441" s="54"/>
      <c r="G441" s="54"/>
      <c r="H441" s="54"/>
      <c r="I441" s="54"/>
      <c r="J441" s="54"/>
      <c r="K441" s="54"/>
      <c r="L441" s="14"/>
      <c r="M441" s="15">
        <v>3424694</v>
      </c>
      <c r="N441" s="15"/>
      <c r="O441" s="15">
        <f>168342.42+6790</f>
        <v>175132.42</v>
      </c>
      <c r="P441" s="15"/>
      <c r="Q441" s="15">
        <v>249090</v>
      </c>
      <c r="R441" s="15"/>
      <c r="S441" s="15">
        <v>262368</v>
      </c>
      <c r="T441" s="15"/>
      <c r="U441" s="15">
        <v>267982</v>
      </c>
      <c r="V441" s="15"/>
      <c r="W441" s="15">
        <f>313871+1103</f>
        <v>314974</v>
      </c>
      <c r="X441" s="15"/>
      <c r="Y441" s="15">
        <v>262857</v>
      </c>
      <c r="Z441" s="15"/>
      <c r="AA441" s="15">
        <v>267230</v>
      </c>
      <c r="AB441" s="15"/>
      <c r="AC441" s="15">
        <v>272651</v>
      </c>
      <c r="AD441" s="15"/>
      <c r="AE441" s="15">
        <v>274870</v>
      </c>
      <c r="AF441" s="15"/>
      <c r="AG441" s="15">
        <v>262230</v>
      </c>
      <c r="AH441" s="15"/>
      <c r="AI441" s="15">
        <v>262230</v>
      </c>
      <c r="AJ441" s="15"/>
      <c r="AK441" s="15">
        <f>129240-12780</f>
        <v>116460</v>
      </c>
      <c r="AL441" s="15"/>
      <c r="AM441" s="16">
        <v>322579</v>
      </c>
      <c r="AN441" s="16"/>
      <c r="AO441" s="16">
        <f t="shared" si="58"/>
        <v>3747273</v>
      </c>
      <c r="AP441" s="128"/>
      <c r="AQ441" s="15"/>
      <c r="AR441" s="15">
        <v>3747273</v>
      </c>
      <c r="AS441" s="72">
        <v>1342636</v>
      </c>
      <c r="AT441" s="15"/>
      <c r="AU441" s="72">
        <v>447240</v>
      </c>
      <c r="AV441" s="72"/>
      <c r="AW441" s="15">
        <f t="shared" si="59"/>
        <v>1789876</v>
      </c>
      <c r="AX441" s="72"/>
    </row>
    <row r="442" spans="1:50" ht="23.25" hidden="1">
      <c r="A442" s="18" t="s">
        <v>6</v>
      </c>
      <c r="B442" s="19">
        <v>-1</v>
      </c>
      <c r="C442" s="59"/>
      <c r="D442" s="54"/>
      <c r="E442" s="54"/>
      <c r="F442" s="54"/>
      <c r="G442" s="54"/>
      <c r="H442" s="54"/>
      <c r="I442" s="54"/>
      <c r="J442" s="54"/>
      <c r="K442" s="54"/>
      <c r="L442" s="14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6"/>
      <c r="AN442" s="16"/>
      <c r="AO442" s="16">
        <f t="shared" si="58"/>
        <v>0</v>
      </c>
      <c r="AP442" s="128"/>
      <c r="AQ442" s="15"/>
      <c r="AR442" s="15"/>
      <c r="AS442" s="15"/>
      <c r="AT442" s="15"/>
      <c r="AU442" s="72"/>
      <c r="AV442" s="72"/>
      <c r="AW442" s="15">
        <f t="shared" si="59"/>
        <v>0</v>
      </c>
      <c r="AX442" s="72"/>
    </row>
    <row r="443" spans="1:50" ht="23.25" hidden="1">
      <c r="A443" s="18" t="s">
        <v>6</v>
      </c>
      <c r="B443" s="19">
        <v>-2</v>
      </c>
      <c r="C443" s="59"/>
      <c r="D443" s="54"/>
      <c r="E443" s="54"/>
      <c r="F443" s="54"/>
      <c r="G443" s="54"/>
      <c r="H443" s="54"/>
      <c r="I443" s="54"/>
      <c r="J443" s="54"/>
      <c r="K443" s="54"/>
      <c r="L443" s="14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6"/>
      <c r="AN443" s="16"/>
      <c r="AO443" s="16">
        <f t="shared" si="58"/>
        <v>0</v>
      </c>
      <c r="AP443" s="128"/>
      <c r="AQ443" s="15"/>
      <c r="AR443" s="15"/>
      <c r="AS443" s="15"/>
      <c r="AT443" s="15"/>
      <c r="AU443" s="72"/>
      <c r="AV443" s="72"/>
      <c r="AW443" s="15">
        <f t="shared" si="59"/>
        <v>0</v>
      </c>
      <c r="AX443" s="72"/>
    </row>
    <row r="444" spans="1:50" ht="23.25" hidden="1">
      <c r="A444" s="18" t="s">
        <v>6</v>
      </c>
      <c r="B444" s="19">
        <v>-3</v>
      </c>
      <c r="C444" s="59"/>
      <c r="D444" s="54"/>
      <c r="E444" s="54"/>
      <c r="F444" s="54"/>
      <c r="G444" s="54"/>
      <c r="H444" s="54"/>
      <c r="I444" s="54"/>
      <c r="J444" s="54"/>
      <c r="K444" s="54"/>
      <c r="L444" s="14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6"/>
      <c r="AN444" s="16"/>
      <c r="AO444" s="16">
        <f t="shared" si="58"/>
        <v>0</v>
      </c>
      <c r="AP444" s="128"/>
      <c r="AQ444" s="15"/>
      <c r="AR444" s="15"/>
      <c r="AS444" s="15"/>
      <c r="AT444" s="15"/>
      <c r="AU444" s="72"/>
      <c r="AV444" s="72"/>
      <c r="AW444" s="15">
        <f t="shared" si="59"/>
        <v>0</v>
      </c>
      <c r="AX444" s="72"/>
    </row>
    <row r="445" spans="1:50" ht="23.25" hidden="1">
      <c r="A445" s="18" t="s">
        <v>6</v>
      </c>
      <c r="B445" s="19">
        <v>-4</v>
      </c>
      <c r="C445" s="59"/>
      <c r="D445" s="54"/>
      <c r="E445" s="54"/>
      <c r="F445" s="54"/>
      <c r="G445" s="54"/>
      <c r="H445" s="54"/>
      <c r="I445" s="54"/>
      <c r="J445" s="54"/>
      <c r="K445" s="54"/>
      <c r="L445" s="14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6"/>
      <c r="AN445" s="16"/>
      <c r="AO445" s="16">
        <f t="shared" si="58"/>
        <v>0</v>
      </c>
      <c r="AP445" s="128"/>
      <c r="AQ445" s="15"/>
      <c r="AR445" s="15"/>
      <c r="AS445" s="15"/>
      <c r="AT445" s="15"/>
      <c r="AU445" s="72"/>
      <c r="AV445" s="72"/>
      <c r="AW445" s="15">
        <f t="shared" si="59"/>
        <v>0</v>
      </c>
      <c r="AX445" s="72"/>
    </row>
    <row r="446" spans="1:50" ht="23.25" hidden="1">
      <c r="A446" s="18" t="s">
        <v>6</v>
      </c>
      <c r="B446" s="19">
        <v>-5</v>
      </c>
      <c r="C446" s="59"/>
      <c r="D446" s="54"/>
      <c r="E446" s="54"/>
      <c r="F446" s="54"/>
      <c r="G446" s="54"/>
      <c r="H446" s="54"/>
      <c r="I446" s="54"/>
      <c r="J446" s="54"/>
      <c r="K446" s="54"/>
      <c r="L446" s="14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6"/>
      <c r="AN446" s="16"/>
      <c r="AO446" s="16">
        <f t="shared" si="58"/>
        <v>0</v>
      </c>
      <c r="AP446" s="128"/>
      <c r="AQ446" s="15"/>
      <c r="AR446" s="15"/>
      <c r="AS446" s="15"/>
      <c r="AT446" s="15"/>
      <c r="AU446" s="72"/>
      <c r="AV446" s="72"/>
      <c r="AW446" s="15">
        <f t="shared" si="59"/>
        <v>0</v>
      </c>
      <c r="AX446" s="72"/>
    </row>
    <row r="447" spans="1:50" ht="23.25" hidden="1">
      <c r="A447" s="18" t="s">
        <v>6</v>
      </c>
      <c r="B447" s="19">
        <v>-6</v>
      </c>
      <c r="C447" s="59"/>
      <c r="D447" s="54"/>
      <c r="E447" s="54"/>
      <c r="F447" s="54"/>
      <c r="G447" s="54"/>
      <c r="H447" s="54"/>
      <c r="I447" s="54"/>
      <c r="J447" s="54"/>
      <c r="K447" s="54"/>
      <c r="L447" s="14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6"/>
      <c r="AN447" s="16"/>
      <c r="AO447" s="16">
        <f t="shared" si="58"/>
        <v>0</v>
      </c>
      <c r="AP447" s="128"/>
      <c r="AQ447" s="15"/>
      <c r="AR447" s="15"/>
      <c r="AS447" s="15"/>
      <c r="AT447" s="15"/>
      <c r="AU447" s="72"/>
      <c r="AV447" s="72"/>
      <c r="AW447" s="15">
        <f t="shared" si="59"/>
        <v>0</v>
      </c>
      <c r="AX447" s="72"/>
    </row>
    <row r="448" spans="1:50" ht="23.25" hidden="1">
      <c r="A448" s="18" t="s">
        <v>6</v>
      </c>
      <c r="B448" s="19">
        <v>-7</v>
      </c>
      <c r="C448" s="59"/>
      <c r="D448" s="54"/>
      <c r="E448" s="54"/>
      <c r="F448" s="54"/>
      <c r="G448" s="54"/>
      <c r="H448" s="54"/>
      <c r="I448" s="54"/>
      <c r="J448" s="54"/>
      <c r="K448" s="54"/>
      <c r="L448" s="14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6"/>
      <c r="AN448" s="16"/>
      <c r="AO448" s="16">
        <f t="shared" si="58"/>
        <v>0</v>
      </c>
      <c r="AP448" s="128"/>
      <c r="AQ448" s="15"/>
      <c r="AR448" s="15"/>
      <c r="AS448" s="15"/>
      <c r="AT448" s="15"/>
      <c r="AU448" s="72"/>
      <c r="AV448" s="72"/>
      <c r="AW448" s="15">
        <f t="shared" si="59"/>
        <v>0</v>
      </c>
      <c r="AX448" s="72"/>
    </row>
    <row r="449" spans="1:50" ht="23.25" hidden="1">
      <c r="A449" s="18" t="s">
        <v>6</v>
      </c>
      <c r="B449" s="19"/>
      <c r="C449" s="54"/>
      <c r="D449" s="54"/>
      <c r="E449" s="54"/>
      <c r="F449" s="54"/>
      <c r="G449" s="54"/>
      <c r="H449" s="54"/>
      <c r="I449" s="54"/>
      <c r="J449" s="54"/>
      <c r="K449" s="54"/>
      <c r="L449" s="14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6"/>
      <c r="AN449" s="16"/>
      <c r="AO449" s="16">
        <f t="shared" si="58"/>
        <v>0</v>
      </c>
      <c r="AP449" s="128"/>
      <c r="AQ449" s="15"/>
      <c r="AR449" s="15"/>
      <c r="AS449" s="15"/>
      <c r="AT449" s="15"/>
      <c r="AU449" s="72"/>
      <c r="AV449" s="72"/>
      <c r="AW449" s="15">
        <f t="shared" si="59"/>
        <v>0</v>
      </c>
      <c r="AX449" s="72"/>
    </row>
    <row r="450" spans="1:50" ht="23.25">
      <c r="A450" s="18" t="s">
        <v>286</v>
      </c>
      <c r="B450" s="19"/>
      <c r="C450" s="54"/>
      <c r="D450" s="54"/>
      <c r="E450" s="54"/>
      <c r="F450" s="54"/>
      <c r="G450" s="54"/>
      <c r="H450" s="54"/>
      <c r="I450" s="54"/>
      <c r="J450" s="54"/>
      <c r="K450" s="54"/>
      <c r="L450" s="14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6">
        <v>239820</v>
      </c>
      <c r="AN450" s="16"/>
      <c r="AO450" s="16">
        <f t="shared" si="58"/>
        <v>239820</v>
      </c>
      <c r="AP450" s="128"/>
      <c r="AQ450" s="15"/>
      <c r="AR450" s="15">
        <v>239820</v>
      </c>
      <c r="AS450" s="15">
        <v>556800</v>
      </c>
      <c r="AT450" s="15"/>
      <c r="AU450" s="72">
        <v>185600</v>
      </c>
      <c r="AV450" s="72"/>
      <c r="AW450" s="15">
        <f t="shared" si="59"/>
        <v>742400</v>
      </c>
      <c r="AX450" s="72"/>
    </row>
    <row r="451" spans="1:50" ht="23.25" hidden="1">
      <c r="A451" s="18"/>
      <c r="B451" s="19">
        <v>-1</v>
      </c>
      <c r="C451" s="59"/>
      <c r="D451" s="54"/>
      <c r="E451" s="54"/>
      <c r="F451" s="54"/>
      <c r="G451" s="54"/>
      <c r="H451" s="54"/>
      <c r="I451" s="54"/>
      <c r="J451" s="54"/>
      <c r="K451" s="54"/>
      <c r="L451" s="14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6"/>
      <c r="AN451" s="16"/>
      <c r="AO451" s="16">
        <f aca="true" t="shared" si="60" ref="AO451:AO481">M451+AM451-AN451</f>
        <v>0</v>
      </c>
      <c r="AP451" s="128"/>
      <c r="AQ451" s="15"/>
      <c r="AR451" s="15"/>
      <c r="AS451" s="15"/>
      <c r="AT451" s="15"/>
      <c r="AU451" s="72"/>
      <c r="AV451" s="72"/>
      <c r="AW451" s="15">
        <f t="shared" si="59"/>
        <v>0</v>
      </c>
      <c r="AX451" s="72"/>
    </row>
    <row r="452" spans="1:50" ht="23.25" hidden="1">
      <c r="A452" s="18"/>
      <c r="B452" s="19">
        <v>-2</v>
      </c>
      <c r="C452" s="54"/>
      <c r="D452" s="54"/>
      <c r="E452" s="54"/>
      <c r="F452" s="54"/>
      <c r="G452" s="54"/>
      <c r="H452" s="54"/>
      <c r="I452" s="54"/>
      <c r="J452" s="54"/>
      <c r="K452" s="54"/>
      <c r="L452" s="14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6"/>
      <c r="AN452" s="16"/>
      <c r="AO452" s="16">
        <f t="shared" si="60"/>
        <v>0</v>
      </c>
      <c r="AP452" s="128"/>
      <c r="AQ452" s="15"/>
      <c r="AR452" s="15"/>
      <c r="AS452" s="15"/>
      <c r="AT452" s="15"/>
      <c r="AU452" s="72"/>
      <c r="AV452" s="72"/>
      <c r="AW452" s="15">
        <f t="shared" si="59"/>
        <v>0</v>
      </c>
      <c r="AX452" s="72"/>
    </row>
    <row r="453" spans="1:50" ht="23.25" hidden="1">
      <c r="A453" s="18"/>
      <c r="B453" s="19"/>
      <c r="C453" s="54"/>
      <c r="D453" s="54"/>
      <c r="E453" s="54"/>
      <c r="F453" s="54"/>
      <c r="G453" s="54"/>
      <c r="H453" s="54"/>
      <c r="I453" s="54"/>
      <c r="J453" s="54"/>
      <c r="K453" s="54"/>
      <c r="L453" s="14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6"/>
      <c r="AN453" s="16"/>
      <c r="AO453" s="16">
        <f t="shared" si="60"/>
        <v>0</v>
      </c>
      <c r="AP453" s="128"/>
      <c r="AQ453" s="15"/>
      <c r="AR453" s="15"/>
      <c r="AS453" s="15"/>
      <c r="AT453" s="15"/>
      <c r="AU453" s="72"/>
      <c r="AV453" s="72"/>
      <c r="AW453" s="15">
        <f t="shared" si="59"/>
        <v>0</v>
      </c>
      <c r="AX453" s="72"/>
    </row>
    <row r="454" spans="1:50" ht="23.25" hidden="1">
      <c r="A454" s="18" t="s">
        <v>7</v>
      </c>
      <c r="B454" s="19">
        <v>-1</v>
      </c>
      <c r="C454" s="59"/>
      <c r="D454" s="54"/>
      <c r="E454" s="54"/>
      <c r="F454" s="54"/>
      <c r="G454" s="54"/>
      <c r="H454" s="54"/>
      <c r="I454" s="54"/>
      <c r="J454" s="54"/>
      <c r="K454" s="54"/>
      <c r="L454" s="14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6"/>
      <c r="AN454" s="16"/>
      <c r="AO454" s="16">
        <f t="shared" si="60"/>
        <v>0</v>
      </c>
      <c r="AP454" s="128"/>
      <c r="AQ454" s="15"/>
      <c r="AR454" s="15"/>
      <c r="AS454" s="15"/>
      <c r="AT454" s="15"/>
      <c r="AU454" s="72"/>
      <c r="AV454" s="72"/>
      <c r="AW454" s="15">
        <f t="shared" si="59"/>
        <v>0</v>
      </c>
      <c r="AX454" s="72"/>
    </row>
    <row r="455" spans="1:50" ht="23.25" hidden="1">
      <c r="A455" s="18" t="s">
        <v>7</v>
      </c>
      <c r="B455" s="19">
        <v>-2</v>
      </c>
      <c r="C455" s="59"/>
      <c r="D455" s="54"/>
      <c r="E455" s="54"/>
      <c r="F455" s="54"/>
      <c r="G455" s="54"/>
      <c r="H455" s="54"/>
      <c r="I455" s="54"/>
      <c r="J455" s="54"/>
      <c r="K455" s="54"/>
      <c r="L455" s="14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6"/>
      <c r="AN455" s="16"/>
      <c r="AO455" s="16">
        <f t="shared" si="60"/>
        <v>0</v>
      </c>
      <c r="AP455" s="128"/>
      <c r="AQ455" s="15"/>
      <c r="AR455" s="15"/>
      <c r="AS455" s="15"/>
      <c r="AT455" s="15"/>
      <c r="AU455" s="72"/>
      <c r="AV455" s="72"/>
      <c r="AW455" s="15">
        <f t="shared" si="59"/>
        <v>0</v>
      </c>
      <c r="AX455" s="72"/>
    </row>
    <row r="456" spans="1:50" ht="23.25" hidden="1">
      <c r="A456" s="18" t="s">
        <v>7</v>
      </c>
      <c r="B456" s="19">
        <v>-3</v>
      </c>
      <c r="C456" s="59"/>
      <c r="D456" s="54"/>
      <c r="E456" s="54"/>
      <c r="F456" s="54"/>
      <c r="G456" s="54"/>
      <c r="H456" s="54"/>
      <c r="I456" s="54"/>
      <c r="J456" s="54"/>
      <c r="K456" s="54"/>
      <c r="L456" s="14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6"/>
      <c r="AN456" s="16"/>
      <c r="AO456" s="16">
        <f t="shared" si="60"/>
        <v>0</v>
      </c>
      <c r="AP456" s="128"/>
      <c r="AQ456" s="15"/>
      <c r="AR456" s="15"/>
      <c r="AS456" s="15"/>
      <c r="AT456" s="15"/>
      <c r="AU456" s="72"/>
      <c r="AV456" s="72"/>
      <c r="AW456" s="15">
        <f t="shared" si="59"/>
        <v>0</v>
      </c>
      <c r="AX456" s="72"/>
    </row>
    <row r="457" spans="1:50" ht="23.25" hidden="1">
      <c r="A457" s="18" t="s">
        <v>7</v>
      </c>
      <c r="B457" s="19"/>
      <c r="C457" s="59"/>
      <c r="D457" s="54"/>
      <c r="E457" s="54"/>
      <c r="F457" s="54"/>
      <c r="G457" s="54"/>
      <c r="H457" s="54"/>
      <c r="I457" s="54"/>
      <c r="J457" s="54"/>
      <c r="K457" s="54"/>
      <c r="L457" s="14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6"/>
      <c r="AN457" s="16"/>
      <c r="AO457" s="16">
        <f t="shared" si="60"/>
        <v>0</v>
      </c>
      <c r="AP457" s="128"/>
      <c r="AQ457" s="15"/>
      <c r="AR457" s="15"/>
      <c r="AS457" s="15"/>
      <c r="AT457" s="15"/>
      <c r="AU457" s="72"/>
      <c r="AV457" s="72"/>
      <c r="AW457" s="15">
        <f t="shared" si="59"/>
        <v>0</v>
      </c>
      <c r="AX457" s="72"/>
    </row>
    <row r="458" spans="1:50" ht="23.25" hidden="1">
      <c r="A458" s="18" t="s">
        <v>7</v>
      </c>
      <c r="B458" s="19">
        <v>-4</v>
      </c>
      <c r="C458" s="59"/>
      <c r="D458" s="54"/>
      <c r="E458" s="54"/>
      <c r="F458" s="54"/>
      <c r="G458" s="54"/>
      <c r="H458" s="54"/>
      <c r="I458" s="54"/>
      <c r="J458" s="54"/>
      <c r="K458" s="54"/>
      <c r="L458" s="14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6"/>
      <c r="AN458" s="16"/>
      <c r="AO458" s="16">
        <f t="shared" si="60"/>
        <v>0</v>
      </c>
      <c r="AP458" s="128"/>
      <c r="AQ458" s="15"/>
      <c r="AR458" s="15"/>
      <c r="AS458" s="15"/>
      <c r="AT458" s="15"/>
      <c r="AU458" s="72"/>
      <c r="AV458" s="72"/>
      <c r="AW458" s="15">
        <f t="shared" si="59"/>
        <v>0</v>
      </c>
      <c r="AX458" s="72"/>
    </row>
    <row r="459" spans="1:50" ht="23.25" hidden="1">
      <c r="A459" s="18" t="s">
        <v>7</v>
      </c>
      <c r="B459" s="19">
        <v>-5</v>
      </c>
      <c r="C459" s="59"/>
      <c r="D459" s="54"/>
      <c r="E459" s="54"/>
      <c r="F459" s="54"/>
      <c r="G459" s="54"/>
      <c r="H459" s="54"/>
      <c r="I459" s="54"/>
      <c r="J459" s="54"/>
      <c r="K459" s="54"/>
      <c r="L459" s="14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6"/>
      <c r="AN459" s="16"/>
      <c r="AO459" s="16">
        <f t="shared" si="60"/>
        <v>0</v>
      </c>
      <c r="AP459" s="128"/>
      <c r="AQ459" s="15"/>
      <c r="AR459" s="15"/>
      <c r="AS459" s="15"/>
      <c r="AT459" s="15"/>
      <c r="AU459" s="72"/>
      <c r="AV459" s="72"/>
      <c r="AW459" s="15">
        <f t="shared" si="59"/>
        <v>0</v>
      </c>
      <c r="AX459" s="72"/>
    </row>
    <row r="460" spans="1:50" ht="23.25" hidden="1">
      <c r="A460" s="18" t="s">
        <v>7</v>
      </c>
      <c r="B460" s="19">
        <v>-6</v>
      </c>
      <c r="C460" s="59"/>
      <c r="D460" s="54"/>
      <c r="E460" s="54"/>
      <c r="F460" s="54"/>
      <c r="G460" s="54"/>
      <c r="H460" s="54"/>
      <c r="I460" s="54"/>
      <c r="J460" s="54"/>
      <c r="K460" s="54"/>
      <c r="L460" s="14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6"/>
      <c r="AN460" s="16"/>
      <c r="AO460" s="16">
        <f t="shared" si="60"/>
        <v>0</v>
      </c>
      <c r="AP460" s="128"/>
      <c r="AQ460" s="15"/>
      <c r="AR460" s="15"/>
      <c r="AS460" s="15"/>
      <c r="AT460" s="15"/>
      <c r="AU460" s="72"/>
      <c r="AV460" s="72"/>
      <c r="AW460" s="15">
        <f t="shared" si="59"/>
        <v>0</v>
      </c>
      <c r="AX460" s="72"/>
    </row>
    <row r="461" spans="1:50" ht="23.25" hidden="1">
      <c r="A461" s="18" t="s">
        <v>7</v>
      </c>
      <c r="B461" s="19">
        <v>-7</v>
      </c>
      <c r="C461" s="59"/>
      <c r="D461" s="54"/>
      <c r="E461" s="54"/>
      <c r="F461" s="54"/>
      <c r="G461" s="54"/>
      <c r="H461" s="54"/>
      <c r="I461" s="54"/>
      <c r="J461" s="54"/>
      <c r="K461" s="54"/>
      <c r="L461" s="14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6"/>
      <c r="AN461" s="16"/>
      <c r="AO461" s="16">
        <f t="shared" si="60"/>
        <v>0</v>
      </c>
      <c r="AP461" s="128"/>
      <c r="AQ461" s="15"/>
      <c r="AR461" s="15"/>
      <c r="AS461" s="15"/>
      <c r="AT461" s="15"/>
      <c r="AU461" s="72"/>
      <c r="AV461" s="72"/>
      <c r="AW461" s="15">
        <f t="shared" si="59"/>
        <v>0</v>
      </c>
      <c r="AX461" s="72"/>
    </row>
    <row r="462" spans="1:50" ht="23.25" hidden="1">
      <c r="A462" s="18" t="s">
        <v>7</v>
      </c>
      <c r="B462" s="19">
        <v>-8</v>
      </c>
      <c r="C462" s="59"/>
      <c r="D462" s="54"/>
      <c r="E462" s="54"/>
      <c r="F462" s="54"/>
      <c r="G462" s="54"/>
      <c r="H462" s="54"/>
      <c r="I462" s="54"/>
      <c r="J462" s="54"/>
      <c r="K462" s="54"/>
      <c r="L462" s="14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6"/>
      <c r="AN462" s="16"/>
      <c r="AO462" s="16">
        <f t="shared" si="60"/>
        <v>0</v>
      </c>
      <c r="AP462" s="128"/>
      <c r="AQ462" s="15"/>
      <c r="AR462" s="15"/>
      <c r="AS462" s="15"/>
      <c r="AT462" s="15"/>
      <c r="AU462" s="72"/>
      <c r="AV462" s="72"/>
      <c r="AW462" s="15">
        <f t="shared" si="59"/>
        <v>0</v>
      </c>
      <c r="AX462" s="72"/>
    </row>
    <row r="463" spans="1:50" ht="23.25" hidden="1">
      <c r="A463" s="18" t="s">
        <v>7</v>
      </c>
      <c r="B463" s="19">
        <v>-9</v>
      </c>
      <c r="C463" s="59"/>
      <c r="D463" s="54"/>
      <c r="E463" s="54"/>
      <c r="F463" s="54"/>
      <c r="G463" s="54"/>
      <c r="H463" s="54"/>
      <c r="I463" s="54"/>
      <c r="J463" s="54"/>
      <c r="K463" s="54"/>
      <c r="L463" s="14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6"/>
      <c r="AN463" s="16"/>
      <c r="AO463" s="16">
        <f t="shared" si="60"/>
        <v>0</v>
      </c>
      <c r="AP463" s="128"/>
      <c r="AQ463" s="15"/>
      <c r="AR463" s="15"/>
      <c r="AS463" s="15"/>
      <c r="AT463" s="15"/>
      <c r="AU463" s="72"/>
      <c r="AV463" s="72"/>
      <c r="AW463" s="15">
        <f t="shared" si="59"/>
        <v>0</v>
      </c>
      <c r="AX463" s="72"/>
    </row>
    <row r="464" spans="1:50" ht="23.25" hidden="1">
      <c r="A464" s="18" t="s">
        <v>7</v>
      </c>
      <c r="B464" s="19">
        <v>-10</v>
      </c>
      <c r="C464" s="59"/>
      <c r="D464" s="54"/>
      <c r="E464" s="54"/>
      <c r="F464" s="54"/>
      <c r="G464" s="54"/>
      <c r="H464" s="54"/>
      <c r="I464" s="54"/>
      <c r="J464" s="54"/>
      <c r="K464" s="54"/>
      <c r="L464" s="14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6"/>
      <c r="AN464" s="16"/>
      <c r="AO464" s="16">
        <f t="shared" si="60"/>
        <v>0</v>
      </c>
      <c r="AP464" s="128"/>
      <c r="AQ464" s="15"/>
      <c r="AR464" s="15"/>
      <c r="AS464" s="15"/>
      <c r="AT464" s="15"/>
      <c r="AU464" s="72"/>
      <c r="AV464" s="72"/>
      <c r="AW464" s="15">
        <f t="shared" si="59"/>
        <v>0</v>
      </c>
      <c r="AX464" s="72"/>
    </row>
    <row r="465" spans="1:50" ht="23.25" hidden="1">
      <c r="A465" s="18" t="s">
        <v>7</v>
      </c>
      <c r="B465" s="19">
        <v>-11</v>
      </c>
      <c r="C465" s="59"/>
      <c r="D465" s="54"/>
      <c r="E465" s="54"/>
      <c r="F465" s="54"/>
      <c r="G465" s="54"/>
      <c r="H465" s="54"/>
      <c r="I465" s="54"/>
      <c r="J465" s="54"/>
      <c r="K465" s="54"/>
      <c r="L465" s="14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6"/>
      <c r="AN465" s="16"/>
      <c r="AO465" s="16">
        <f t="shared" si="60"/>
        <v>0</v>
      </c>
      <c r="AP465" s="128"/>
      <c r="AQ465" s="15"/>
      <c r="AR465" s="15"/>
      <c r="AS465" s="15"/>
      <c r="AT465" s="15"/>
      <c r="AU465" s="72"/>
      <c r="AV465" s="72"/>
      <c r="AW465" s="15">
        <f t="shared" si="59"/>
        <v>0</v>
      </c>
      <c r="AX465" s="72"/>
    </row>
    <row r="466" spans="1:50" ht="23.25" hidden="1">
      <c r="A466" s="18" t="s">
        <v>7</v>
      </c>
      <c r="B466" s="19">
        <v>-12</v>
      </c>
      <c r="C466" s="59"/>
      <c r="D466" s="54"/>
      <c r="E466" s="54"/>
      <c r="F466" s="54"/>
      <c r="G466" s="54"/>
      <c r="H466" s="54"/>
      <c r="I466" s="54"/>
      <c r="J466" s="54"/>
      <c r="K466" s="54"/>
      <c r="L466" s="14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6"/>
      <c r="AN466" s="16"/>
      <c r="AO466" s="16">
        <f t="shared" si="60"/>
        <v>0</v>
      </c>
      <c r="AP466" s="128"/>
      <c r="AQ466" s="15"/>
      <c r="AR466" s="15"/>
      <c r="AS466" s="15"/>
      <c r="AT466" s="15"/>
      <c r="AU466" s="72"/>
      <c r="AV466" s="72"/>
      <c r="AW466" s="15">
        <f t="shared" si="59"/>
        <v>0</v>
      </c>
      <c r="AX466" s="72"/>
    </row>
    <row r="467" spans="1:50" ht="23.25" hidden="1">
      <c r="A467" s="18" t="s">
        <v>7</v>
      </c>
      <c r="B467" s="19">
        <v>-13</v>
      </c>
      <c r="C467" s="59"/>
      <c r="D467" s="54"/>
      <c r="E467" s="54"/>
      <c r="F467" s="54"/>
      <c r="G467" s="54"/>
      <c r="H467" s="54"/>
      <c r="I467" s="54"/>
      <c r="J467" s="54"/>
      <c r="K467" s="54"/>
      <c r="L467" s="14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6"/>
      <c r="AN467" s="16"/>
      <c r="AO467" s="16">
        <f t="shared" si="60"/>
        <v>0</v>
      </c>
      <c r="AP467" s="128"/>
      <c r="AQ467" s="15"/>
      <c r="AR467" s="15"/>
      <c r="AS467" s="15"/>
      <c r="AT467" s="15"/>
      <c r="AU467" s="72"/>
      <c r="AV467" s="72"/>
      <c r="AW467" s="15">
        <f t="shared" si="59"/>
        <v>0</v>
      </c>
      <c r="AX467" s="72"/>
    </row>
    <row r="468" spans="1:50" ht="23.25" hidden="1">
      <c r="A468" s="18" t="s">
        <v>7</v>
      </c>
      <c r="B468" s="19"/>
      <c r="C468" s="54"/>
      <c r="D468" s="54"/>
      <c r="E468" s="54"/>
      <c r="F468" s="54"/>
      <c r="G468" s="54"/>
      <c r="H468" s="54"/>
      <c r="I468" s="54"/>
      <c r="J468" s="54"/>
      <c r="K468" s="54"/>
      <c r="L468" s="14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6"/>
      <c r="AN468" s="16"/>
      <c r="AO468" s="16">
        <f t="shared" si="60"/>
        <v>0</v>
      </c>
      <c r="AP468" s="128"/>
      <c r="AQ468" s="15"/>
      <c r="AR468" s="15"/>
      <c r="AS468" s="15"/>
      <c r="AT468" s="15"/>
      <c r="AU468" s="72"/>
      <c r="AV468" s="72"/>
      <c r="AW468" s="15">
        <f t="shared" si="59"/>
        <v>0</v>
      </c>
      <c r="AX468" s="72"/>
    </row>
    <row r="469" spans="1:50" ht="23.25">
      <c r="A469" s="18" t="s">
        <v>7</v>
      </c>
      <c r="B469" s="19"/>
      <c r="C469" s="54"/>
      <c r="D469" s="54"/>
      <c r="E469" s="54"/>
      <c r="F469" s="54"/>
      <c r="G469" s="54"/>
      <c r="H469" s="54"/>
      <c r="I469" s="54"/>
      <c r="J469" s="54"/>
      <c r="K469" s="54"/>
      <c r="L469" s="14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6">
        <v>43088.5</v>
      </c>
      <c r="AN469" s="16"/>
      <c r="AO469" s="16">
        <f t="shared" si="60"/>
        <v>43088.5</v>
      </c>
      <c r="AP469" s="128"/>
      <c r="AQ469" s="15"/>
      <c r="AR469" s="15">
        <v>43088.5</v>
      </c>
      <c r="AS469" s="15">
        <v>112510</v>
      </c>
      <c r="AT469" s="15"/>
      <c r="AU469" s="72">
        <v>52937</v>
      </c>
      <c r="AV469" s="72"/>
      <c r="AW469" s="15">
        <f t="shared" si="59"/>
        <v>165447</v>
      </c>
      <c r="AX469" s="72"/>
    </row>
    <row r="470" spans="1:50" ht="23.25">
      <c r="A470" s="18" t="s">
        <v>8</v>
      </c>
      <c r="B470" s="19"/>
      <c r="C470" s="54"/>
      <c r="D470" s="54"/>
      <c r="E470" s="54"/>
      <c r="F470" s="54"/>
      <c r="G470" s="54"/>
      <c r="H470" s="54"/>
      <c r="I470" s="54"/>
      <c r="J470" s="54"/>
      <c r="K470" s="54"/>
      <c r="L470" s="14"/>
      <c r="M470" s="15">
        <v>3277918.68</v>
      </c>
      <c r="N470" s="15"/>
      <c r="O470" s="15">
        <v>9895</v>
      </c>
      <c r="P470" s="15"/>
      <c r="Q470" s="15">
        <f>176418+99810</f>
        <v>276228</v>
      </c>
      <c r="R470" s="15"/>
      <c r="S470" s="15">
        <v>507041</v>
      </c>
      <c r="T470" s="15"/>
      <c r="U470" s="15">
        <f>348786+199609.75+14697+59915</f>
        <v>623007.75</v>
      </c>
      <c r="V470" s="15"/>
      <c r="W470" s="15">
        <f>184834+14190+11866+2300+99973.75+99516+43382+100000+79670</f>
        <v>635731.75</v>
      </c>
      <c r="X470" s="15"/>
      <c r="Y470" s="15">
        <f>221104.6+65417+4848+52000</f>
        <v>343369.6</v>
      </c>
      <c r="Z470" s="15"/>
      <c r="AA470" s="15">
        <v>226939.5</v>
      </c>
      <c r="AB470" s="15"/>
      <c r="AC470" s="15">
        <f>237917+7565+4348+66925+49720+167390+214700</f>
        <v>748565</v>
      </c>
      <c r="AD470" s="15"/>
      <c r="AE470" s="15">
        <f>454939+33330+83835.75</f>
        <v>572104.75</v>
      </c>
      <c r="AF470" s="15"/>
      <c r="AG470" s="15">
        <f>292756+247984.75</f>
        <v>540740.75</v>
      </c>
      <c r="AH470" s="15"/>
      <c r="AI470" s="15">
        <f>278674+33903+359615+23477+149495</f>
        <v>845164</v>
      </c>
      <c r="AJ470" s="15"/>
      <c r="AK470" s="15">
        <f>587299+10000+19950+70000+2284+89482.75+2736+59533+93900+49960+70000</f>
        <v>1055144.75</v>
      </c>
      <c r="AL470" s="15">
        <v>800</v>
      </c>
      <c r="AM470" s="16">
        <f>81380+366151.66</f>
        <v>447531.66</v>
      </c>
      <c r="AN470" s="16"/>
      <c r="AO470" s="16">
        <f t="shared" si="60"/>
        <v>3725450.3400000003</v>
      </c>
      <c r="AP470" s="128"/>
      <c r="AQ470" s="15"/>
      <c r="AR470" s="57">
        <v>3725450.34</v>
      </c>
      <c r="AS470" s="15">
        <v>816840.7</v>
      </c>
      <c r="AT470" s="15"/>
      <c r="AU470" s="72">
        <f>274593.8+12400</f>
        <v>286993.8</v>
      </c>
      <c r="AV470" s="72">
        <v>99213</v>
      </c>
      <c r="AW470" s="15">
        <f t="shared" si="59"/>
        <v>1004621.5</v>
      </c>
      <c r="AX470" s="72"/>
    </row>
    <row r="471" spans="1:50" ht="23.25" hidden="1">
      <c r="A471" s="18"/>
      <c r="B471" s="19">
        <v>-1</v>
      </c>
      <c r="C471" s="59"/>
      <c r="D471" s="54"/>
      <c r="E471" s="54"/>
      <c r="F471" s="54"/>
      <c r="G471" s="54"/>
      <c r="H471" s="54"/>
      <c r="I471" s="54"/>
      <c r="J471" s="54"/>
      <c r="K471" s="54"/>
      <c r="L471" s="14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6"/>
      <c r="AN471" s="16"/>
      <c r="AO471" s="16">
        <f t="shared" si="60"/>
        <v>0</v>
      </c>
      <c r="AP471" s="128"/>
      <c r="AQ471" s="15"/>
      <c r="AR471" s="15"/>
      <c r="AS471" s="15"/>
      <c r="AT471" s="15"/>
      <c r="AU471" s="72"/>
      <c r="AV471" s="72"/>
      <c r="AW471" s="15">
        <f t="shared" si="59"/>
        <v>0</v>
      </c>
      <c r="AX471" s="72"/>
    </row>
    <row r="472" spans="1:50" ht="23.25" hidden="1">
      <c r="A472" s="18"/>
      <c r="B472" s="19">
        <v>-2</v>
      </c>
      <c r="C472" s="59"/>
      <c r="D472" s="54"/>
      <c r="E472" s="54"/>
      <c r="F472" s="54"/>
      <c r="G472" s="54"/>
      <c r="H472" s="54"/>
      <c r="I472" s="54"/>
      <c r="J472" s="54"/>
      <c r="K472" s="54"/>
      <c r="L472" s="14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6"/>
      <c r="AN472" s="16"/>
      <c r="AO472" s="16">
        <f t="shared" si="60"/>
        <v>0</v>
      </c>
      <c r="AP472" s="128"/>
      <c r="AQ472" s="15"/>
      <c r="AR472" s="15"/>
      <c r="AS472" s="15"/>
      <c r="AT472" s="15"/>
      <c r="AU472" s="72"/>
      <c r="AV472" s="72"/>
      <c r="AW472" s="15">
        <f t="shared" si="59"/>
        <v>0</v>
      </c>
      <c r="AX472" s="72"/>
    </row>
    <row r="473" spans="1:50" ht="23.25" hidden="1">
      <c r="A473" s="18"/>
      <c r="B473" s="19">
        <v>-3</v>
      </c>
      <c r="C473" s="59"/>
      <c r="D473" s="54"/>
      <c r="E473" s="54"/>
      <c r="F473" s="54"/>
      <c r="G473" s="54"/>
      <c r="H473" s="54"/>
      <c r="I473" s="54"/>
      <c r="J473" s="54"/>
      <c r="K473" s="54"/>
      <c r="L473" s="14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6"/>
      <c r="AN473" s="16"/>
      <c r="AO473" s="16">
        <f t="shared" si="60"/>
        <v>0</v>
      </c>
      <c r="AP473" s="128"/>
      <c r="AQ473" s="15"/>
      <c r="AR473" s="15"/>
      <c r="AS473" s="15"/>
      <c r="AT473" s="15"/>
      <c r="AU473" s="72"/>
      <c r="AV473" s="72"/>
      <c r="AW473" s="15">
        <f t="shared" si="59"/>
        <v>0</v>
      </c>
      <c r="AX473" s="72"/>
    </row>
    <row r="474" spans="1:50" ht="23.25" hidden="1">
      <c r="A474" s="18"/>
      <c r="B474" s="19">
        <v>-4</v>
      </c>
      <c r="C474" s="59"/>
      <c r="D474" s="54"/>
      <c r="E474" s="54"/>
      <c r="F474" s="54"/>
      <c r="G474" s="54"/>
      <c r="H474" s="54"/>
      <c r="I474" s="54"/>
      <c r="J474" s="54"/>
      <c r="K474" s="54"/>
      <c r="L474" s="14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6"/>
      <c r="AN474" s="16"/>
      <c r="AO474" s="16">
        <f t="shared" si="60"/>
        <v>0</v>
      </c>
      <c r="AP474" s="128"/>
      <c r="AQ474" s="15"/>
      <c r="AR474" s="15"/>
      <c r="AS474" s="15"/>
      <c r="AT474" s="15"/>
      <c r="AU474" s="72"/>
      <c r="AV474" s="72"/>
      <c r="AW474" s="15">
        <f t="shared" si="59"/>
        <v>0</v>
      </c>
      <c r="AX474" s="72"/>
    </row>
    <row r="475" spans="1:50" ht="23.25" hidden="1">
      <c r="A475" s="18"/>
      <c r="B475" s="19"/>
      <c r="C475" s="59"/>
      <c r="D475" s="54"/>
      <c r="E475" s="54"/>
      <c r="F475" s="54"/>
      <c r="G475" s="54"/>
      <c r="H475" s="54"/>
      <c r="I475" s="54"/>
      <c r="J475" s="54"/>
      <c r="K475" s="54"/>
      <c r="L475" s="14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6"/>
      <c r="AN475" s="16"/>
      <c r="AO475" s="16">
        <f t="shared" si="60"/>
        <v>0</v>
      </c>
      <c r="AP475" s="128"/>
      <c r="AQ475" s="15"/>
      <c r="AR475" s="15"/>
      <c r="AS475" s="15"/>
      <c r="AT475" s="15"/>
      <c r="AU475" s="72"/>
      <c r="AV475" s="72"/>
      <c r="AW475" s="15">
        <f t="shared" si="59"/>
        <v>0</v>
      </c>
      <c r="AX475" s="72"/>
    </row>
    <row r="476" spans="1:50" ht="23.25" hidden="1">
      <c r="A476" s="18"/>
      <c r="B476" s="19">
        <v>-5</v>
      </c>
      <c r="C476" s="59"/>
      <c r="D476" s="54"/>
      <c r="E476" s="54"/>
      <c r="F476" s="54"/>
      <c r="G476" s="54"/>
      <c r="H476" s="54"/>
      <c r="I476" s="54"/>
      <c r="J476" s="54"/>
      <c r="K476" s="54"/>
      <c r="L476" s="14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6"/>
      <c r="AN476" s="16"/>
      <c r="AO476" s="16">
        <f t="shared" si="60"/>
        <v>0</v>
      </c>
      <c r="AP476" s="128"/>
      <c r="AQ476" s="15"/>
      <c r="AR476" s="15"/>
      <c r="AS476" s="15"/>
      <c r="AT476" s="15"/>
      <c r="AU476" s="72"/>
      <c r="AV476" s="72"/>
      <c r="AW476" s="15">
        <f t="shared" si="59"/>
        <v>0</v>
      </c>
      <c r="AX476" s="72"/>
    </row>
    <row r="477" spans="1:50" ht="23.25" hidden="1">
      <c r="A477" s="18"/>
      <c r="B477" s="19">
        <v>-6</v>
      </c>
      <c r="C477" s="59"/>
      <c r="D477" s="54"/>
      <c r="E477" s="54"/>
      <c r="F477" s="54"/>
      <c r="G477" s="54"/>
      <c r="H477" s="54"/>
      <c r="I477" s="54"/>
      <c r="J477" s="54"/>
      <c r="K477" s="54"/>
      <c r="L477" s="14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6"/>
      <c r="AN477" s="16"/>
      <c r="AO477" s="16">
        <f t="shared" si="60"/>
        <v>0</v>
      </c>
      <c r="AP477" s="128"/>
      <c r="AQ477" s="15"/>
      <c r="AR477" s="15"/>
      <c r="AS477" s="15"/>
      <c r="AT477" s="15"/>
      <c r="AU477" s="72"/>
      <c r="AV477" s="72"/>
      <c r="AW477" s="15">
        <f t="shared" si="59"/>
        <v>0</v>
      </c>
      <c r="AX477" s="72"/>
    </row>
    <row r="478" spans="1:50" ht="23.25" hidden="1">
      <c r="A478" s="18"/>
      <c r="B478" s="19">
        <v>-7</v>
      </c>
      <c r="C478" s="59"/>
      <c r="D478" s="54"/>
      <c r="E478" s="54"/>
      <c r="F478" s="54"/>
      <c r="G478" s="54"/>
      <c r="H478" s="54"/>
      <c r="I478" s="54"/>
      <c r="J478" s="54"/>
      <c r="K478" s="54"/>
      <c r="L478" s="14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6"/>
      <c r="AN478" s="16"/>
      <c r="AO478" s="16">
        <f t="shared" si="60"/>
        <v>0</v>
      </c>
      <c r="AP478" s="128"/>
      <c r="AQ478" s="15"/>
      <c r="AR478" s="15"/>
      <c r="AS478" s="15"/>
      <c r="AT478" s="15"/>
      <c r="AU478" s="72"/>
      <c r="AV478" s="72"/>
      <c r="AW478" s="15">
        <f t="shared" si="59"/>
        <v>0</v>
      </c>
      <c r="AX478" s="72"/>
    </row>
    <row r="479" spans="1:50" ht="23.25" hidden="1">
      <c r="A479" s="18"/>
      <c r="B479" s="19"/>
      <c r="C479" s="54"/>
      <c r="D479" s="54"/>
      <c r="E479" s="54"/>
      <c r="F479" s="54"/>
      <c r="G479" s="54"/>
      <c r="H479" s="54"/>
      <c r="I479" s="54"/>
      <c r="J479" s="54"/>
      <c r="K479" s="54"/>
      <c r="L479" s="14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6"/>
      <c r="AN479" s="16"/>
      <c r="AO479" s="16">
        <f t="shared" si="60"/>
        <v>0</v>
      </c>
      <c r="AP479" s="128"/>
      <c r="AQ479" s="15"/>
      <c r="AR479" s="15"/>
      <c r="AS479" s="15"/>
      <c r="AT479" s="15"/>
      <c r="AU479" s="72"/>
      <c r="AV479" s="72"/>
      <c r="AW479" s="15">
        <f t="shared" si="59"/>
        <v>0</v>
      </c>
      <c r="AX479" s="72"/>
    </row>
    <row r="480" spans="1:50" ht="23.25">
      <c r="A480" s="18" t="s">
        <v>281</v>
      </c>
      <c r="B480" s="19"/>
      <c r="C480" s="54"/>
      <c r="D480" s="54"/>
      <c r="E480" s="54"/>
      <c r="F480" s="54"/>
      <c r="G480" s="54"/>
      <c r="H480" s="54"/>
      <c r="I480" s="54"/>
      <c r="J480" s="54"/>
      <c r="K480" s="54"/>
      <c r="L480" s="14"/>
      <c r="M480" s="15">
        <v>1335734.5</v>
      </c>
      <c r="N480" s="15"/>
      <c r="O480" s="15">
        <v>86877.5</v>
      </c>
      <c r="P480" s="15"/>
      <c r="Q480" s="15">
        <v>314214.5</v>
      </c>
      <c r="R480" s="15"/>
      <c r="S480" s="15">
        <v>195149</v>
      </c>
      <c r="T480" s="15"/>
      <c r="U480" s="15">
        <v>84058.49</v>
      </c>
      <c r="V480" s="15"/>
      <c r="W480" s="15">
        <v>381396</v>
      </c>
      <c r="X480" s="15"/>
      <c r="Y480" s="15">
        <v>393162</v>
      </c>
      <c r="Z480" s="15"/>
      <c r="AA480" s="15">
        <v>168439.2</v>
      </c>
      <c r="AB480" s="15"/>
      <c r="AC480" s="15">
        <v>82273</v>
      </c>
      <c r="AD480" s="15"/>
      <c r="AE480" s="15">
        <v>121431</v>
      </c>
      <c r="AF480" s="15"/>
      <c r="AG480" s="15">
        <v>108723</v>
      </c>
      <c r="AH480" s="15"/>
      <c r="AI480" s="15">
        <v>98369.08</v>
      </c>
      <c r="AJ480" s="15"/>
      <c r="AK480" s="15">
        <v>596637</v>
      </c>
      <c r="AL480" s="15"/>
      <c r="AM480" s="16">
        <f>97906.4+367452.3-31710</f>
        <v>433648.69999999995</v>
      </c>
      <c r="AN480" s="16"/>
      <c r="AO480" s="16">
        <f t="shared" si="60"/>
        <v>1769383.2</v>
      </c>
      <c r="AP480" s="128"/>
      <c r="AQ480" s="15"/>
      <c r="AR480" s="15">
        <v>1769383.2</v>
      </c>
      <c r="AS480" s="15">
        <v>160924.07</v>
      </c>
      <c r="AT480" s="15"/>
      <c r="AU480" s="72">
        <v>203747.38</v>
      </c>
      <c r="AV480" s="72"/>
      <c r="AW480" s="15">
        <f t="shared" si="59"/>
        <v>364671.45</v>
      </c>
      <c r="AX480" s="72"/>
    </row>
    <row r="481" spans="1:50" ht="23.25" hidden="1">
      <c r="A481" s="18" t="s">
        <v>9</v>
      </c>
      <c r="B481" s="19"/>
      <c r="C481" s="59"/>
      <c r="D481" s="54" t="s">
        <v>258</v>
      </c>
      <c r="E481" s="54"/>
      <c r="F481" s="54"/>
      <c r="G481" s="54"/>
      <c r="H481" s="54"/>
      <c r="I481" s="54"/>
      <c r="J481" s="54"/>
      <c r="K481" s="54"/>
      <c r="L481" s="14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6"/>
      <c r="AN481" s="16"/>
      <c r="AO481" s="16">
        <f t="shared" si="60"/>
        <v>0</v>
      </c>
      <c r="AP481" s="128"/>
      <c r="AQ481" s="15"/>
      <c r="AR481" s="15"/>
      <c r="AS481" s="15"/>
      <c r="AT481" s="15"/>
      <c r="AU481" s="72"/>
      <c r="AV481" s="72"/>
      <c r="AW481" s="15">
        <f t="shared" si="59"/>
        <v>0</v>
      </c>
      <c r="AX481" s="72"/>
    </row>
    <row r="482" spans="1:50" ht="23.25" hidden="1">
      <c r="A482" s="18" t="s">
        <v>9</v>
      </c>
      <c r="B482" s="19"/>
      <c r="C482" s="59"/>
      <c r="D482" s="54" t="s">
        <v>259</v>
      </c>
      <c r="E482" s="54"/>
      <c r="F482" s="54"/>
      <c r="G482" s="54"/>
      <c r="H482" s="54"/>
      <c r="I482" s="54"/>
      <c r="J482" s="54"/>
      <c r="K482" s="54"/>
      <c r="L482" s="14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6"/>
      <c r="AN482" s="16"/>
      <c r="AO482" s="16">
        <f aca="true" t="shared" si="61" ref="AO482:AO512">M482+AM482-AN482</f>
        <v>0</v>
      </c>
      <c r="AP482" s="128"/>
      <c r="AQ482" s="15"/>
      <c r="AR482" s="15"/>
      <c r="AS482" s="15"/>
      <c r="AT482" s="15"/>
      <c r="AU482" s="72"/>
      <c r="AV482" s="72"/>
      <c r="AW482" s="15">
        <f t="shared" si="59"/>
        <v>0</v>
      </c>
      <c r="AX482" s="72"/>
    </row>
    <row r="483" spans="1:50" ht="23.25" hidden="1">
      <c r="A483" s="18" t="s">
        <v>9</v>
      </c>
      <c r="B483" s="19"/>
      <c r="C483" s="59"/>
      <c r="D483" s="54" t="s">
        <v>260</v>
      </c>
      <c r="E483" s="54"/>
      <c r="F483" s="54"/>
      <c r="G483" s="54"/>
      <c r="H483" s="54"/>
      <c r="I483" s="54"/>
      <c r="J483" s="54"/>
      <c r="K483" s="54"/>
      <c r="L483" s="14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6"/>
      <c r="AN483" s="16"/>
      <c r="AO483" s="16">
        <f t="shared" si="61"/>
        <v>0</v>
      </c>
      <c r="AP483" s="128"/>
      <c r="AQ483" s="15"/>
      <c r="AR483" s="15"/>
      <c r="AS483" s="15"/>
      <c r="AT483" s="15"/>
      <c r="AU483" s="72"/>
      <c r="AV483" s="72"/>
      <c r="AW483" s="15">
        <f t="shared" si="59"/>
        <v>0</v>
      </c>
      <c r="AX483" s="72"/>
    </row>
    <row r="484" spans="1:50" ht="23.25" hidden="1">
      <c r="A484" s="18" t="s">
        <v>9</v>
      </c>
      <c r="B484" s="19"/>
      <c r="C484" s="59"/>
      <c r="D484" s="54" t="s">
        <v>261</v>
      </c>
      <c r="E484" s="54"/>
      <c r="F484" s="54"/>
      <c r="G484" s="54"/>
      <c r="H484" s="54"/>
      <c r="I484" s="54"/>
      <c r="J484" s="54"/>
      <c r="K484" s="54"/>
      <c r="L484" s="14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6"/>
      <c r="AN484" s="16"/>
      <c r="AO484" s="16">
        <f t="shared" si="61"/>
        <v>0</v>
      </c>
      <c r="AP484" s="128"/>
      <c r="AQ484" s="15"/>
      <c r="AR484" s="15"/>
      <c r="AS484" s="15"/>
      <c r="AT484" s="15"/>
      <c r="AU484" s="72"/>
      <c r="AV484" s="72"/>
      <c r="AW484" s="15">
        <f t="shared" si="59"/>
        <v>0</v>
      </c>
      <c r="AX484" s="72"/>
    </row>
    <row r="485" spans="1:50" ht="23.25" hidden="1">
      <c r="A485" s="18" t="s">
        <v>9</v>
      </c>
      <c r="B485" s="19"/>
      <c r="C485" s="59"/>
      <c r="D485" s="54" t="s">
        <v>262</v>
      </c>
      <c r="E485" s="54"/>
      <c r="F485" s="54"/>
      <c r="G485" s="54"/>
      <c r="H485" s="54"/>
      <c r="I485" s="54"/>
      <c r="J485" s="54"/>
      <c r="K485" s="54"/>
      <c r="L485" s="14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6"/>
      <c r="AN485" s="16"/>
      <c r="AO485" s="16">
        <f t="shared" si="61"/>
        <v>0</v>
      </c>
      <c r="AP485" s="128"/>
      <c r="AQ485" s="15"/>
      <c r="AR485" s="15"/>
      <c r="AS485" s="15"/>
      <c r="AT485" s="15"/>
      <c r="AU485" s="72"/>
      <c r="AV485" s="72"/>
      <c r="AW485" s="15">
        <f t="shared" si="59"/>
        <v>0</v>
      </c>
      <c r="AX485" s="72"/>
    </row>
    <row r="486" spans="1:50" ht="23.25" hidden="1">
      <c r="A486" s="18" t="s">
        <v>9</v>
      </c>
      <c r="B486" s="19"/>
      <c r="C486" s="59"/>
      <c r="D486" s="54" t="s">
        <v>263</v>
      </c>
      <c r="E486" s="54"/>
      <c r="F486" s="54"/>
      <c r="G486" s="54"/>
      <c r="H486" s="54"/>
      <c r="I486" s="54"/>
      <c r="J486" s="54"/>
      <c r="K486" s="54"/>
      <c r="L486" s="14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6"/>
      <c r="AN486" s="16"/>
      <c r="AO486" s="16">
        <f t="shared" si="61"/>
        <v>0</v>
      </c>
      <c r="AP486" s="128"/>
      <c r="AQ486" s="15"/>
      <c r="AR486" s="15"/>
      <c r="AS486" s="15"/>
      <c r="AT486" s="15"/>
      <c r="AU486" s="72"/>
      <c r="AV486" s="72"/>
      <c r="AW486" s="15">
        <f t="shared" si="59"/>
        <v>0</v>
      </c>
      <c r="AX486" s="72"/>
    </row>
    <row r="487" spans="1:50" ht="23.25" hidden="1">
      <c r="A487" s="18" t="s">
        <v>9</v>
      </c>
      <c r="B487" s="19"/>
      <c r="C487" s="59"/>
      <c r="D487" s="54" t="s">
        <v>264</v>
      </c>
      <c r="E487" s="54"/>
      <c r="F487" s="54"/>
      <c r="G487" s="54"/>
      <c r="H487" s="54"/>
      <c r="I487" s="54"/>
      <c r="J487" s="54"/>
      <c r="K487" s="54"/>
      <c r="L487" s="14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6"/>
      <c r="AN487" s="16"/>
      <c r="AO487" s="16">
        <f t="shared" si="61"/>
        <v>0</v>
      </c>
      <c r="AP487" s="128"/>
      <c r="AQ487" s="15"/>
      <c r="AR487" s="15"/>
      <c r="AS487" s="15"/>
      <c r="AT487" s="15"/>
      <c r="AU487" s="72"/>
      <c r="AV487" s="72"/>
      <c r="AW487" s="15">
        <f aca="true" t="shared" si="62" ref="AW487:AW548">AS487+AU487-AV487</f>
        <v>0</v>
      </c>
      <c r="AX487" s="72"/>
    </row>
    <row r="488" spans="1:50" ht="23.25" hidden="1">
      <c r="A488" s="18" t="s">
        <v>9</v>
      </c>
      <c r="B488" s="19"/>
      <c r="C488" s="59"/>
      <c r="D488" s="54" t="s">
        <v>265</v>
      </c>
      <c r="E488" s="54"/>
      <c r="F488" s="54"/>
      <c r="G488" s="54"/>
      <c r="H488" s="54"/>
      <c r="I488" s="54"/>
      <c r="J488" s="54"/>
      <c r="K488" s="54"/>
      <c r="L488" s="14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6"/>
      <c r="AN488" s="16"/>
      <c r="AO488" s="16">
        <f t="shared" si="61"/>
        <v>0</v>
      </c>
      <c r="AP488" s="128"/>
      <c r="AQ488" s="15"/>
      <c r="AR488" s="15"/>
      <c r="AS488" s="15"/>
      <c r="AT488" s="15"/>
      <c r="AU488" s="72"/>
      <c r="AV488" s="72"/>
      <c r="AW488" s="15">
        <f t="shared" si="62"/>
        <v>0</v>
      </c>
      <c r="AX488" s="72"/>
    </row>
    <row r="489" spans="1:50" ht="23.25" hidden="1">
      <c r="A489" s="18" t="s">
        <v>9</v>
      </c>
      <c r="B489" s="19"/>
      <c r="C489" s="59"/>
      <c r="D489" s="54" t="s">
        <v>266</v>
      </c>
      <c r="E489" s="54"/>
      <c r="F489" s="54"/>
      <c r="G489" s="54"/>
      <c r="H489" s="54"/>
      <c r="I489" s="54"/>
      <c r="J489" s="54"/>
      <c r="K489" s="54"/>
      <c r="L489" s="14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6"/>
      <c r="AN489" s="16"/>
      <c r="AO489" s="16">
        <f t="shared" si="61"/>
        <v>0</v>
      </c>
      <c r="AP489" s="128"/>
      <c r="AQ489" s="15"/>
      <c r="AR489" s="15"/>
      <c r="AS489" s="15"/>
      <c r="AT489" s="15"/>
      <c r="AU489" s="72"/>
      <c r="AV489" s="72"/>
      <c r="AW489" s="15">
        <f t="shared" si="62"/>
        <v>0</v>
      </c>
      <c r="AX489" s="72"/>
    </row>
    <row r="490" spans="1:50" ht="23.25" hidden="1">
      <c r="A490" s="18" t="s">
        <v>9</v>
      </c>
      <c r="B490" s="19"/>
      <c r="C490" s="59"/>
      <c r="D490" s="54" t="s">
        <v>267</v>
      </c>
      <c r="E490" s="54"/>
      <c r="F490" s="54"/>
      <c r="G490" s="54"/>
      <c r="H490" s="54"/>
      <c r="I490" s="54"/>
      <c r="J490" s="54"/>
      <c r="K490" s="54"/>
      <c r="L490" s="14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6"/>
      <c r="AN490" s="16"/>
      <c r="AO490" s="16">
        <f t="shared" si="61"/>
        <v>0</v>
      </c>
      <c r="AP490" s="128"/>
      <c r="AQ490" s="15"/>
      <c r="AR490" s="15"/>
      <c r="AS490" s="15"/>
      <c r="AT490" s="15"/>
      <c r="AU490" s="72"/>
      <c r="AV490" s="72"/>
      <c r="AW490" s="15">
        <f t="shared" si="62"/>
        <v>0</v>
      </c>
      <c r="AX490" s="72"/>
    </row>
    <row r="491" spans="1:50" ht="23.25" hidden="1">
      <c r="A491" s="18" t="s">
        <v>9</v>
      </c>
      <c r="B491" s="19"/>
      <c r="C491" s="59"/>
      <c r="D491" s="54" t="s">
        <v>268</v>
      </c>
      <c r="E491" s="54"/>
      <c r="F491" s="54"/>
      <c r="G491" s="54"/>
      <c r="H491" s="54"/>
      <c r="I491" s="54"/>
      <c r="J491" s="54"/>
      <c r="K491" s="54"/>
      <c r="L491" s="14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6"/>
      <c r="AN491" s="16"/>
      <c r="AO491" s="16">
        <f t="shared" si="61"/>
        <v>0</v>
      </c>
      <c r="AP491" s="128"/>
      <c r="AQ491" s="15"/>
      <c r="AR491" s="15"/>
      <c r="AS491" s="15"/>
      <c r="AT491" s="15"/>
      <c r="AU491" s="72"/>
      <c r="AV491" s="72"/>
      <c r="AW491" s="15">
        <f t="shared" si="62"/>
        <v>0</v>
      </c>
      <c r="AX491" s="72"/>
    </row>
    <row r="492" spans="1:50" ht="23.25" hidden="1">
      <c r="A492" s="18" t="s">
        <v>9</v>
      </c>
      <c r="B492" s="19"/>
      <c r="C492" s="59"/>
      <c r="D492" s="54" t="s">
        <v>269</v>
      </c>
      <c r="E492" s="54"/>
      <c r="F492" s="54"/>
      <c r="G492" s="54"/>
      <c r="H492" s="54"/>
      <c r="I492" s="54"/>
      <c r="J492" s="54"/>
      <c r="K492" s="54"/>
      <c r="L492" s="14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6"/>
      <c r="AN492" s="16"/>
      <c r="AO492" s="16">
        <f t="shared" si="61"/>
        <v>0</v>
      </c>
      <c r="AP492" s="128"/>
      <c r="AQ492" s="15"/>
      <c r="AR492" s="15"/>
      <c r="AS492" s="15"/>
      <c r="AT492" s="15"/>
      <c r="AU492" s="72"/>
      <c r="AV492" s="72"/>
      <c r="AW492" s="15">
        <f t="shared" si="62"/>
        <v>0</v>
      </c>
      <c r="AX492" s="72"/>
    </row>
    <row r="493" spans="1:50" ht="23.25" hidden="1">
      <c r="A493" s="18" t="s">
        <v>9</v>
      </c>
      <c r="B493" s="19"/>
      <c r="C493" s="59"/>
      <c r="D493" s="54"/>
      <c r="E493" s="54"/>
      <c r="F493" s="54"/>
      <c r="G493" s="54"/>
      <c r="H493" s="54"/>
      <c r="I493" s="54"/>
      <c r="J493" s="54"/>
      <c r="K493" s="54"/>
      <c r="L493" s="14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6"/>
      <c r="AN493" s="16"/>
      <c r="AO493" s="16">
        <f t="shared" si="61"/>
        <v>0</v>
      </c>
      <c r="AP493" s="128"/>
      <c r="AQ493" s="15"/>
      <c r="AR493" s="15"/>
      <c r="AS493" s="15"/>
      <c r="AT493" s="15"/>
      <c r="AU493" s="72"/>
      <c r="AV493" s="72"/>
      <c r="AW493" s="15">
        <f t="shared" si="62"/>
        <v>0</v>
      </c>
      <c r="AX493" s="72"/>
    </row>
    <row r="494" spans="1:50" ht="23.25" hidden="1">
      <c r="A494" s="18" t="s">
        <v>9</v>
      </c>
      <c r="B494" s="19"/>
      <c r="C494" s="59"/>
      <c r="D494" s="54"/>
      <c r="E494" s="54"/>
      <c r="F494" s="54"/>
      <c r="G494" s="54"/>
      <c r="H494" s="54"/>
      <c r="I494" s="54"/>
      <c r="J494" s="54"/>
      <c r="K494" s="54"/>
      <c r="L494" s="14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6"/>
      <c r="AN494" s="16"/>
      <c r="AO494" s="16">
        <f t="shared" si="61"/>
        <v>0</v>
      </c>
      <c r="AP494" s="128"/>
      <c r="AQ494" s="15"/>
      <c r="AR494" s="15"/>
      <c r="AS494" s="15"/>
      <c r="AT494" s="15"/>
      <c r="AU494" s="72"/>
      <c r="AV494" s="72"/>
      <c r="AW494" s="15">
        <f t="shared" si="62"/>
        <v>0</v>
      </c>
      <c r="AX494" s="72"/>
    </row>
    <row r="495" spans="1:50" ht="23.25" hidden="1">
      <c r="A495" s="18" t="s">
        <v>9</v>
      </c>
      <c r="B495" s="19"/>
      <c r="C495" s="59"/>
      <c r="D495" s="54"/>
      <c r="E495" s="54"/>
      <c r="F495" s="54"/>
      <c r="G495" s="54"/>
      <c r="H495" s="54"/>
      <c r="I495" s="54"/>
      <c r="J495" s="54"/>
      <c r="K495" s="54"/>
      <c r="L495" s="14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6"/>
      <c r="AN495" s="16"/>
      <c r="AO495" s="16">
        <f t="shared" si="61"/>
        <v>0</v>
      </c>
      <c r="AP495" s="128"/>
      <c r="AQ495" s="15"/>
      <c r="AR495" s="15"/>
      <c r="AS495" s="15"/>
      <c r="AT495" s="15"/>
      <c r="AU495" s="72"/>
      <c r="AV495" s="72"/>
      <c r="AW495" s="15">
        <f t="shared" si="62"/>
        <v>0</v>
      </c>
      <c r="AX495" s="72"/>
    </row>
    <row r="496" spans="1:50" ht="23.25" hidden="1">
      <c r="A496" s="18" t="s">
        <v>9</v>
      </c>
      <c r="B496" s="19"/>
      <c r="C496" s="59"/>
      <c r="D496" s="54"/>
      <c r="E496" s="54"/>
      <c r="F496" s="54"/>
      <c r="G496" s="54"/>
      <c r="H496" s="54"/>
      <c r="I496" s="54"/>
      <c r="J496" s="54"/>
      <c r="K496" s="54"/>
      <c r="L496" s="14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6"/>
      <c r="AN496" s="16"/>
      <c r="AO496" s="16">
        <f t="shared" si="61"/>
        <v>0</v>
      </c>
      <c r="AP496" s="128"/>
      <c r="AQ496" s="15"/>
      <c r="AR496" s="15"/>
      <c r="AS496" s="15"/>
      <c r="AT496" s="15"/>
      <c r="AU496" s="72"/>
      <c r="AV496" s="72"/>
      <c r="AW496" s="15">
        <f t="shared" si="62"/>
        <v>0</v>
      </c>
      <c r="AX496" s="72"/>
    </row>
    <row r="497" spans="1:50" ht="23.25" hidden="1">
      <c r="A497" s="18" t="s">
        <v>9</v>
      </c>
      <c r="B497" s="19"/>
      <c r="C497" s="54"/>
      <c r="D497" s="54"/>
      <c r="E497" s="54"/>
      <c r="F497" s="54"/>
      <c r="G497" s="54"/>
      <c r="H497" s="54"/>
      <c r="I497" s="54"/>
      <c r="J497" s="54"/>
      <c r="K497" s="54"/>
      <c r="L497" s="14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6"/>
      <c r="AN497" s="16"/>
      <c r="AO497" s="16">
        <f t="shared" si="61"/>
        <v>0</v>
      </c>
      <c r="AP497" s="128"/>
      <c r="AQ497" s="15"/>
      <c r="AR497" s="15"/>
      <c r="AS497" s="15"/>
      <c r="AT497" s="15"/>
      <c r="AU497" s="72"/>
      <c r="AV497" s="72"/>
      <c r="AW497" s="15">
        <f t="shared" si="62"/>
        <v>0</v>
      </c>
      <c r="AX497" s="72"/>
    </row>
    <row r="498" spans="1:50" ht="23.25">
      <c r="A498" s="18" t="s">
        <v>10</v>
      </c>
      <c r="B498" s="19"/>
      <c r="C498" s="59"/>
      <c r="D498" s="54"/>
      <c r="E498" s="54"/>
      <c r="F498" s="54"/>
      <c r="G498" s="54"/>
      <c r="H498" s="54"/>
      <c r="I498" s="54"/>
      <c r="J498" s="54"/>
      <c r="K498" s="54"/>
      <c r="L498" s="14"/>
      <c r="M498" s="15">
        <v>135932.13</v>
      </c>
      <c r="N498" s="15"/>
      <c r="O498" s="15">
        <v>22296.1</v>
      </c>
      <c r="P498" s="15"/>
      <c r="Q498" s="15">
        <v>24898.67</v>
      </c>
      <c r="R498" s="15"/>
      <c r="S498" s="15">
        <v>28410.89</v>
      </c>
      <c r="T498" s="15"/>
      <c r="U498" s="15">
        <v>25061</v>
      </c>
      <c r="V498" s="15"/>
      <c r="W498" s="15">
        <v>12606.96</v>
      </c>
      <c r="X498" s="15"/>
      <c r="Y498" s="15">
        <v>49275.5</v>
      </c>
      <c r="Z498" s="15"/>
      <c r="AA498" s="15">
        <v>31723.81</v>
      </c>
      <c r="AB498" s="15"/>
      <c r="AC498" s="15">
        <v>26515.2</v>
      </c>
      <c r="AD498" s="15"/>
      <c r="AE498" s="15">
        <v>34353.11</v>
      </c>
      <c r="AF498" s="15"/>
      <c r="AG498" s="15">
        <v>27994.05</v>
      </c>
      <c r="AH498" s="15"/>
      <c r="AI498" s="15">
        <v>27538.56</v>
      </c>
      <c r="AJ498" s="15"/>
      <c r="AK498" s="15">
        <v>44580.92</v>
      </c>
      <c r="AL498" s="15"/>
      <c r="AM498" s="16">
        <v>18396.84</v>
      </c>
      <c r="AN498" s="16"/>
      <c r="AO498" s="16">
        <f t="shared" si="61"/>
        <v>154328.97</v>
      </c>
      <c r="AP498" s="128"/>
      <c r="AQ498" s="15"/>
      <c r="AR498" s="15">
        <v>154328.97</v>
      </c>
      <c r="AS498" s="15">
        <v>86365.09</v>
      </c>
      <c r="AT498" s="15"/>
      <c r="AU498" s="72">
        <v>16186.62</v>
      </c>
      <c r="AV498" s="72"/>
      <c r="AW498" s="15">
        <f t="shared" si="62"/>
        <v>102551.70999999999</v>
      </c>
      <c r="AX498" s="72"/>
    </row>
    <row r="499" spans="1:50" ht="23.25" hidden="1">
      <c r="A499" s="18"/>
      <c r="B499" s="19">
        <v>-1</v>
      </c>
      <c r="C499" s="59"/>
      <c r="D499" s="54"/>
      <c r="E499" s="54"/>
      <c r="F499" s="54"/>
      <c r="G499" s="54"/>
      <c r="H499" s="54"/>
      <c r="I499" s="54"/>
      <c r="J499" s="54"/>
      <c r="K499" s="54"/>
      <c r="L499" s="14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6"/>
      <c r="AN499" s="16"/>
      <c r="AO499" s="16">
        <f t="shared" si="61"/>
        <v>0</v>
      </c>
      <c r="AP499" s="128"/>
      <c r="AQ499" s="15"/>
      <c r="AR499" s="15"/>
      <c r="AS499" s="15"/>
      <c r="AT499" s="15"/>
      <c r="AU499" s="72"/>
      <c r="AV499" s="72"/>
      <c r="AW499" s="15">
        <f t="shared" si="62"/>
        <v>0</v>
      </c>
      <c r="AX499" s="72"/>
    </row>
    <row r="500" spans="1:50" ht="23.25" hidden="1">
      <c r="A500" s="18"/>
      <c r="B500" s="19">
        <v>-2</v>
      </c>
      <c r="C500" s="59"/>
      <c r="D500" s="54"/>
      <c r="E500" s="54"/>
      <c r="F500" s="54"/>
      <c r="G500" s="54"/>
      <c r="H500" s="54"/>
      <c r="I500" s="54"/>
      <c r="J500" s="54"/>
      <c r="K500" s="54"/>
      <c r="L500" s="14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6"/>
      <c r="AN500" s="16"/>
      <c r="AO500" s="16">
        <f t="shared" si="61"/>
        <v>0</v>
      </c>
      <c r="AP500" s="128"/>
      <c r="AQ500" s="15"/>
      <c r="AR500" s="15"/>
      <c r="AS500" s="15"/>
      <c r="AT500" s="15"/>
      <c r="AU500" s="72"/>
      <c r="AV500" s="72"/>
      <c r="AW500" s="15">
        <f t="shared" si="62"/>
        <v>0</v>
      </c>
      <c r="AX500" s="72"/>
    </row>
    <row r="501" spans="1:50" ht="23.25" hidden="1">
      <c r="A501" s="18"/>
      <c r="B501" s="19">
        <v>-3</v>
      </c>
      <c r="C501" s="59"/>
      <c r="D501" s="54"/>
      <c r="E501" s="54"/>
      <c r="F501" s="54"/>
      <c r="G501" s="54"/>
      <c r="H501" s="54"/>
      <c r="I501" s="54"/>
      <c r="J501" s="54"/>
      <c r="K501" s="54"/>
      <c r="L501" s="14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6"/>
      <c r="AN501" s="16"/>
      <c r="AO501" s="16">
        <f t="shared" si="61"/>
        <v>0</v>
      </c>
      <c r="AP501" s="128"/>
      <c r="AQ501" s="15"/>
      <c r="AR501" s="15"/>
      <c r="AS501" s="15"/>
      <c r="AT501" s="15"/>
      <c r="AU501" s="72"/>
      <c r="AV501" s="72"/>
      <c r="AW501" s="15">
        <f t="shared" si="62"/>
        <v>0</v>
      </c>
      <c r="AX501" s="72"/>
    </row>
    <row r="502" spans="1:50" ht="23.25" hidden="1">
      <c r="A502" s="18"/>
      <c r="B502" s="19">
        <v>-4</v>
      </c>
      <c r="C502" s="59"/>
      <c r="D502" s="54"/>
      <c r="E502" s="54"/>
      <c r="F502" s="54"/>
      <c r="G502" s="54"/>
      <c r="H502" s="54"/>
      <c r="I502" s="54"/>
      <c r="J502" s="54"/>
      <c r="K502" s="54"/>
      <c r="L502" s="14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6"/>
      <c r="AN502" s="16"/>
      <c r="AO502" s="16">
        <f t="shared" si="61"/>
        <v>0</v>
      </c>
      <c r="AP502" s="128"/>
      <c r="AQ502" s="15"/>
      <c r="AR502" s="15"/>
      <c r="AS502" s="15"/>
      <c r="AT502" s="15"/>
      <c r="AU502" s="72"/>
      <c r="AV502" s="72"/>
      <c r="AW502" s="15">
        <f t="shared" si="62"/>
        <v>0</v>
      </c>
      <c r="AX502" s="72"/>
    </row>
    <row r="503" spans="1:50" ht="23.25" hidden="1">
      <c r="A503" s="18"/>
      <c r="B503" s="19">
        <v>-5</v>
      </c>
      <c r="C503" s="59"/>
      <c r="D503" s="54"/>
      <c r="E503" s="54"/>
      <c r="F503" s="54"/>
      <c r="G503" s="54"/>
      <c r="H503" s="54"/>
      <c r="I503" s="54"/>
      <c r="J503" s="54"/>
      <c r="K503" s="54"/>
      <c r="L503" s="14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6"/>
      <c r="AN503" s="16"/>
      <c r="AO503" s="16">
        <f t="shared" si="61"/>
        <v>0</v>
      </c>
      <c r="AP503" s="128"/>
      <c r="AQ503" s="15"/>
      <c r="AR503" s="15"/>
      <c r="AS503" s="15"/>
      <c r="AT503" s="15"/>
      <c r="AU503" s="72"/>
      <c r="AV503" s="72"/>
      <c r="AW503" s="15">
        <f t="shared" si="62"/>
        <v>0</v>
      </c>
      <c r="AX503" s="72"/>
    </row>
    <row r="504" spans="1:50" ht="23.25" hidden="1">
      <c r="A504" s="18"/>
      <c r="B504" s="19">
        <v>-6</v>
      </c>
      <c r="C504" s="59"/>
      <c r="D504" s="54"/>
      <c r="E504" s="54"/>
      <c r="F504" s="54"/>
      <c r="G504" s="54"/>
      <c r="H504" s="54"/>
      <c r="I504" s="54"/>
      <c r="J504" s="54"/>
      <c r="K504" s="54"/>
      <c r="L504" s="14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6"/>
      <c r="AN504" s="16"/>
      <c r="AO504" s="16">
        <f t="shared" si="61"/>
        <v>0</v>
      </c>
      <c r="AP504" s="128"/>
      <c r="AQ504" s="15"/>
      <c r="AR504" s="15"/>
      <c r="AS504" s="15"/>
      <c r="AT504" s="15"/>
      <c r="AU504" s="72"/>
      <c r="AV504" s="72"/>
      <c r="AW504" s="15">
        <f t="shared" si="62"/>
        <v>0</v>
      </c>
      <c r="AX504" s="72"/>
    </row>
    <row r="505" spans="1:50" ht="23.25" hidden="1">
      <c r="A505" s="18"/>
      <c r="B505" s="19">
        <v>-7</v>
      </c>
      <c r="C505" s="59"/>
      <c r="D505" s="54"/>
      <c r="E505" s="54"/>
      <c r="F505" s="54"/>
      <c r="G505" s="54"/>
      <c r="H505" s="54"/>
      <c r="I505" s="54"/>
      <c r="J505" s="54"/>
      <c r="K505" s="54"/>
      <c r="L505" s="14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6"/>
      <c r="AN505" s="16"/>
      <c r="AO505" s="16">
        <f t="shared" si="61"/>
        <v>0</v>
      </c>
      <c r="AP505" s="128"/>
      <c r="AQ505" s="15"/>
      <c r="AR505" s="15"/>
      <c r="AS505" s="15"/>
      <c r="AT505" s="15"/>
      <c r="AU505" s="72"/>
      <c r="AV505" s="72"/>
      <c r="AW505" s="15">
        <f t="shared" si="62"/>
        <v>0</v>
      </c>
      <c r="AX505" s="72"/>
    </row>
    <row r="506" spans="1:50" ht="23.25" hidden="1">
      <c r="A506" s="18"/>
      <c r="B506" s="19"/>
      <c r="C506" s="54"/>
      <c r="D506" s="54"/>
      <c r="E506" s="54"/>
      <c r="F506" s="54"/>
      <c r="G506" s="54"/>
      <c r="H506" s="54"/>
      <c r="I506" s="54"/>
      <c r="J506" s="54"/>
      <c r="K506" s="54"/>
      <c r="L506" s="26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6"/>
      <c r="AN506" s="16"/>
      <c r="AO506" s="16">
        <f t="shared" si="61"/>
        <v>0</v>
      </c>
      <c r="AP506" s="128"/>
      <c r="AQ506" s="15"/>
      <c r="AR506" s="15"/>
      <c r="AS506" s="15"/>
      <c r="AT506" s="15"/>
      <c r="AU506" s="72"/>
      <c r="AV506" s="72"/>
      <c r="AW506" s="15">
        <f t="shared" si="62"/>
        <v>0</v>
      </c>
      <c r="AX506" s="72"/>
    </row>
    <row r="507" spans="1:50" ht="23.25">
      <c r="A507" s="18" t="s">
        <v>11</v>
      </c>
      <c r="B507" s="19"/>
      <c r="C507" s="54"/>
      <c r="D507" s="54"/>
      <c r="E507" s="54"/>
      <c r="F507" s="54"/>
      <c r="G507" s="54"/>
      <c r="H507" s="54"/>
      <c r="I507" s="54"/>
      <c r="J507" s="54"/>
      <c r="K507" s="54"/>
      <c r="L507" s="14"/>
      <c r="M507" s="15">
        <v>500560</v>
      </c>
      <c r="N507" s="15"/>
      <c r="O507" s="15"/>
      <c r="P507" s="15"/>
      <c r="Q507" s="15">
        <v>34777.14</v>
      </c>
      <c r="R507" s="15"/>
      <c r="S507" s="15">
        <v>133039.52</v>
      </c>
      <c r="T507" s="15"/>
      <c r="U507" s="15">
        <v>816405.68</v>
      </c>
      <c r="V507" s="15"/>
      <c r="W507" s="15"/>
      <c r="X507" s="15"/>
      <c r="Y507" s="15">
        <v>20000</v>
      </c>
      <c r="Z507" s="15"/>
      <c r="AA507" s="15">
        <v>252213.98</v>
      </c>
      <c r="AB507" s="15"/>
      <c r="AC507" s="15"/>
      <c r="AD507" s="15"/>
      <c r="AE507" s="15">
        <v>10000</v>
      </c>
      <c r="AF507" s="15"/>
      <c r="AG507" s="15"/>
      <c r="AH507" s="15"/>
      <c r="AI507" s="15"/>
      <c r="AJ507" s="15"/>
      <c r="AK507" s="15">
        <v>835000</v>
      </c>
      <c r="AL507" s="15"/>
      <c r="AM507" s="16">
        <v>10000</v>
      </c>
      <c r="AN507" s="16"/>
      <c r="AO507" s="16">
        <f t="shared" si="61"/>
        <v>510560</v>
      </c>
      <c r="AP507" s="128"/>
      <c r="AQ507" s="15"/>
      <c r="AR507" s="15">
        <v>510560</v>
      </c>
      <c r="AS507" s="15">
        <v>183990</v>
      </c>
      <c r="AT507" s="15"/>
      <c r="AU507" s="72">
        <f>20590+3000</f>
        <v>23590</v>
      </c>
      <c r="AV507" s="72"/>
      <c r="AW507" s="15">
        <f t="shared" si="62"/>
        <v>207580</v>
      </c>
      <c r="AX507" s="72"/>
    </row>
    <row r="508" spans="1:50" ht="23.25" hidden="1">
      <c r="A508" s="18"/>
      <c r="B508" s="19">
        <v>-1</v>
      </c>
      <c r="C508" s="59"/>
      <c r="D508" s="54"/>
      <c r="E508" s="54"/>
      <c r="F508" s="54"/>
      <c r="G508" s="54"/>
      <c r="H508" s="54"/>
      <c r="I508" s="54"/>
      <c r="J508" s="54"/>
      <c r="K508" s="54"/>
      <c r="L508" s="14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6"/>
      <c r="AN508" s="16"/>
      <c r="AO508" s="16">
        <f t="shared" si="61"/>
        <v>0</v>
      </c>
      <c r="AP508" s="128"/>
      <c r="AQ508" s="15"/>
      <c r="AR508" s="15"/>
      <c r="AS508" s="15">
        <f aca="true" t="shared" si="63" ref="AS508:AS516">AO508-AR508</f>
        <v>0</v>
      </c>
      <c r="AT508" s="15"/>
      <c r="AU508" s="72"/>
      <c r="AV508" s="72"/>
      <c r="AW508" s="165">
        <f t="shared" si="62"/>
        <v>0</v>
      </c>
      <c r="AX508" s="72"/>
    </row>
    <row r="509" spans="1:50" ht="23.25" hidden="1">
      <c r="A509" s="18"/>
      <c r="B509" s="19">
        <v>-2</v>
      </c>
      <c r="C509" s="59"/>
      <c r="D509" s="54"/>
      <c r="E509" s="54"/>
      <c r="F509" s="54"/>
      <c r="G509" s="54"/>
      <c r="H509" s="54"/>
      <c r="I509" s="54"/>
      <c r="J509" s="54"/>
      <c r="K509" s="54"/>
      <c r="L509" s="14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6"/>
      <c r="AN509" s="16"/>
      <c r="AO509" s="16">
        <f t="shared" si="61"/>
        <v>0</v>
      </c>
      <c r="AP509" s="128"/>
      <c r="AQ509" s="15"/>
      <c r="AR509" s="15"/>
      <c r="AS509" s="15">
        <f t="shared" si="63"/>
        <v>0</v>
      </c>
      <c r="AT509" s="15"/>
      <c r="AU509" s="72"/>
      <c r="AV509" s="72"/>
      <c r="AW509" s="165">
        <f t="shared" si="62"/>
        <v>0</v>
      </c>
      <c r="AX509" s="72"/>
    </row>
    <row r="510" spans="1:50" ht="23.25" hidden="1">
      <c r="A510" s="18"/>
      <c r="B510" s="19">
        <v>-3</v>
      </c>
      <c r="C510" s="59"/>
      <c r="D510" s="54"/>
      <c r="E510" s="54"/>
      <c r="F510" s="54"/>
      <c r="G510" s="54"/>
      <c r="H510" s="54"/>
      <c r="I510" s="54"/>
      <c r="J510" s="54"/>
      <c r="K510" s="54"/>
      <c r="L510" s="14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6"/>
      <c r="AN510" s="16"/>
      <c r="AO510" s="16">
        <f t="shared" si="61"/>
        <v>0</v>
      </c>
      <c r="AP510" s="128"/>
      <c r="AQ510" s="15"/>
      <c r="AR510" s="15"/>
      <c r="AS510" s="15">
        <f t="shared" si="63"/>
        <v>0</v>
      </c>
      <c r="AT510" s="15"/>
      <c r="AU510" s="72"/>
      <c r="AV510" s="72"/>
      <c r="AW510" s="165">
        <f t="shared" si="62"/>
        <v>0</v>
      </c>
      <c r="AX510" s="72"/>
    </row>
    <row r="511" spans="1:50" ht="23.25" hidden="1">
      <c r="A511" s="18"/>
      <c r="B511" s="19"/>
      <c r="C511" s="59"/>
      <c r="D511" s="54"/>
      <c r="E511" s="54"/>
      <c r="F511" s="54"/>
      <c r="G511" s="54"/>
      <c r="H511" s="54"/>
      <c r="I511" s="54"/>
      <c r="J511" s="54"/>
      <c r="K511" s="54"/>
      <c r="L511" s="14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6"/>
      <c r="AN511" s="16"/>
      <c r="AO511" s="16">
        <f t="shared" si="61"/>
        <v>0</v>
      </c>
      <c r="AP511" s="128"/>
      <c r="AQ511" s="15"/>
      <c r="AR511" s="15"/>
      <c r="AS511" s="15">
        <f t="shared" si="63"/>
        <v>0</v>
      </c>
      <c r="AT511" s="15"/>
      <c r="AU511" s="72"/>
      <c r="AV511" s="72"/>
      <c r="AW511" s="165">
        <f t="shared" si="62"/>
        <v>0</v>
      </c>
      <c r="AX511" s="72"/>
    </row>
    <row r="512" spans="1:50" ht="23.25" hidden="1">
      <c r="A512" s="18" t="s">
        <v>270</v>
      </c>
      <c r="B512" s="19"/>
      <c r="C512" s="59"/>
      <c r="D512" s="54"/>
      <c r="E512" s="54"/>
      <c r="F512" s="54"/>
      <c r="G512" s="54"/>
      <c r="H512" s="54"/>
      <c r="I512" s="54"/>
      <c r="J512" s="54"/>
      <c r="K512" s="54"/>
      <c r="L512" s="14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>
        <v>361800</v>
      </c>
      <c r="AD512" s="15"/>
      <c r="AE512" s="15">
        <v>1800</v>
      </c>
      <c r="AF512" s="15"/>
      <c r="AG512" s="15"/>
      <c r="AH512" s="15"/>
      <c r="AI512" s="15"/>
      <c r="AJ512" s="15"/>
      <c r="AK512" s="15">
        <f>360000+5400-3600</f>
        <v>361800</v>
      </c>
      <c r="AL512" s="15">
        <f>5400+1800</f>
        <v>7200</v>
      </c>
      <c r="AM512" s="16"/>
      <c r="AN512" s="16"/>
      <c r="AO512" s="16">
        <f t="shared" si="61"/>
        <v>0</v>
      </c>
      <c r="AP512" s="128"/>
      <c r="AQ512" s="15"/>
      <c r="AR512" s="15"/>
      <c r="AS512" s="15">
        <f t="shared" si="63"/>
        <v>0</v>
      </c>
      <c r="AT512" s="15"/>
      <c r="AU512" s="72"/>
      <c r="AV512" s="72"/>
      <c r="AW512" s="165">
        <f t="shared" si="62"/>
        <v>0</v>
      </c>
      <c r="AX512" s="72"/>
    </row>
    <row r="513" spans="1:50" ht="23.25">
      <c r="A513" s="18" t="s">
        <v>271</v>
      </c>
      <c r="B513" s="19"/>
      <c r="C513" s="54"/>
      <c r="D513" s="54"/>
      <c r="E513" s="54"/>
      <c r="F513" s="54"/>
      <c r="G513" s="54"/>
      <c r="H513" s="54"/>
      <c r="I513" s="54"/>
      <c r="J513" s="54"/>
      <c r="K513" s="54"/>
      <c r="L513" s="14"/>
      <c r="M513" s="15">
        <v>358750</v>
      </c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>
        <v>69840</v>
      </c>
      <c r="Z513" s="15"/>
      <c r="AA513" s="15"/>
      <c r="AB513" s="15"/>
      <c r="AC513" s="15">
        <v>260000</v>
      </c>
      <c r="AD513" s="15"/>
      <c r="AE513" s="15">
        <v>58000</v>
      </c>
      <c r="AF513" s="15"/>
      <c r="AG513" s="15">
        <v>90000</v>
      </c>
      <c r="AH513" s="15"/>
      <c r="AI513" s="15"/>
      <c r="AJ513" s="15"/>
      <c r="AK513" s="15">
        <f>295000+52500</f>
        <v>347500</v>
      </c>
      <c r="AL513" s="15"/>
      <c r="AM513" s="16">
        <f>88000+57800-22800</f>
        <v>123000</v>
      </c>
      <c r="AN513" s="16"/>
      <c r="AO513" s="16">
        <f aca="true" t="shared" si="64" ref="AO513:AO543">M513+AM513-AN513</f>
        <v>481750</v>
      </c>
      <c r="AP513" s="128"/>
      <c r="AQ513" s="15"/>
      <c r="AR513" s="15">
        <v>481750</v>
      </c>
      <c r="AS513" s="15">
        <f t="shared" si="63"/>
        <v>0</v>
      </c>
      <c r="AT513" s="15"/>
      <c r="AU513" s="72">
        <f>28285+33713</f>
        <v>61998</v>
      </c>
      <c r="AV513" s="72"/>
      <c r="AW513" s="165">
        <f t="shared" si="62"/>
        <v>61998</v>
      </c>
      <c r="AX513" s="72"/>
    </row>
    <row r="514" spans="1:50" ht="23.25" hidden="1">
      <c r="A514" s="18" t="s">
        <v>271</v>
      </c>
      <c r="B514" s="19">
        <v>-1</v>
      </c>
      <c r="C514" s="59"/>
      <c r="D514" s="54"/>
      <c r="E514" s="54"/>
      <c r="F514" s="54"/>
      <c r="G514" s="54"/>
      <c r="H514" s="54"/>
      <c r="I514" s="54"/>
      <c r="J514" s="54"/>
      <c r="K514" s="54"/>
      <c r="L514" s="14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6"/>
      <c r="AN514" s="16"/>
      <c r="AO514" s="16">
        <f t="shared" si="64"/>
        <v>0</v>
      </c>
      <c r="AP514" s="128"/>
      <c r="AQ514" s="15"/>
      <c r="AR514" s="15"/>
      <c r="AS514" s="15">
        <f t="shared" si="63"/>
        <v>0</v>
      </c>
      <c r="AT514" s="15"/>
      <c r="AU514" s="72"/>
      <c r="AV514" s="72"/>
      <c r="AW514" s="165">
        <f t="shared" si="62"/>
        <v>0</v>
      </c>
      <c r="AX514" s="72"/>
    </row>
    <row r="515" spans="1:50" ht="23.25" hidden="1">
      <c r="A515" s="18" t="s">
        <v>271</v>
      </c>
      <c r="B515" s="19">
        <v>-2</v>
      </c>
      <c r="C515" s="59"/>
      <c r="D515" s="54"/>
      <c r="E515" s="54"/>
      <c r="F515" s="54"/>
      <c r="G515" s="54"/>
      <c r="H515" s="54"/>
      <c r="I515" s="54"/>
      <c r="J515" s="54"/>
      <c r="K515" s="54"/>
      <c r="L515" s="14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6"/>
      <c r="AN515" s="16"/>
      <c r="AO515" s="16">
        <f t="shared" si="64"/>
        <v>0</v>
      </c>
      <c r="AP515" s="128"/>
      <c r="AQ515" s="15"/>
      <c r="AR515" s="15"/>
      <c r="AS515" s="15">
        <f t="shared" si="63"/>
        <v>0</v>
      </c>
      <c r="AT515" s="15"/>
      <c r="AU515" s="72"/>
      <c r="AV515" s="72"/>
      <c r="AW515" s="165">
        <f t="shared" si="62"/>
        <v>0</v>
      </c>
      <c r="AX515" s="72"/>
    </row>
    <row r="516" spans="1:50" ht="23.25" hidden="1">
      <c r="A516" s="18" t="s">
        <v>271</v>
      </c>
      <c r="B516" s="19">
        <v>-3</v>
      </c>
      <c r="C516" s="59"/>
      <c r="D516" s="54"/>
      <c r="E516" s="54"/>
      <c r="F516" s="54"/>
      <c r="G516" s="54"/>
      <c r="H516" s="54"/>
      <c r="I516" s="54"/>
      <c r="J516" s="54"/>
      <c r="K516" s="54"/>
      <c r="L516" s="14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6"/>
      <c r="AN516" s="16"/>
      <c r="AO516" s="16">
        <f t="shared" si="64"/>
        <v>0</v>
      </c>
      <c r="AP516" s="128"/>
      <c r="AQ516" s="15"/>
      <c r="AR516" s="15"/>
      <c r="AS516" s="15">
        <f t="shared" si="63"/>
        <v>0</v>
      </c>
      <c r="AT516" s="15"/>
      <c r="AU516" s="72"/>
      <c r="AV516" s="72"/>
      <c r="AW516" s="165">
        <f t="shared" si="62"/>
        <v>0</v>
      </c>
      <c r="AX516" s="72"/>
    </row>
    <row r="517" spans="1:50" ht="23.25" hidden="1">
      <c r="A517" s="18" t="s">
        <v>271</v>
      </c>
      <c r="B517" s="19">
        <v>-4</v>
      </c>
      <c r="C517" s="59"/>
      <c r="D517" s="54"/>
      <c r="E517" s="54"/>
      <c r="F517" s="54"/>
      <c r="G517" s="54"/>
      <c r="H517" s="54"/>
      <c r="I517" s="54"/>
      <c r="J517" s="54"/>
      <c r="K517" s="54"/>
      <c r="L517" s="14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6"/>
      <c r="AN517" s="16"/>
      <c r="AO517" s="16">
        <f t="shared" si="64"/>
        <v>0</v>
      </c>
      <c r="AP517" s="128"/>
      <c r="AQ517" s="15"/>
      <c r="AR517" s="15"/>
      <c r="AS517" s="15">
        <f aca="true" t="shared" si="65" ref="AS517:AS547">AO517-AR517</f>
        <v>0</v>
      </c>
      <c r="AT517" s="15"/>
      <c r="AU517" s="72"/>
      <c r="AV517" s="72"/>
      <c r="AW517" s="165">
        <f t="shared" si="62"/>
        <v>0</v>
      </c>
      <c r="AX517" s="72"/>
    </row>
    <row r="518" spans="1:50" ht="23.25" hidden="1">
      <c r="A518" s="18" t="s">
        <v>271</v>
      </c>
      <c r="B518" s="19">
        <v>-5</v>
      </c>
      <c r="C518" s="59"/>
      <c r="D518" s="54"/>
      <c r="E518" s="54"/>
      <c r="F518" s="54"/>
      <c r="G518" s="54"/>
      <c r="H518" s="54"/>
      <c r="I518" s="54"/>
      <c r="J518" s="54"/>
      <c r="K518" s="54"/>
      <c r="L518" s="14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6"/>
      <c r="AN518" s="16"/>
      <c r="AO518" s="16">
        <f t="shared" si="64"/>
        <v>0</v>
      </c>
      <c r="AP518" s="128"/>
      <c r="AQ518" s="15"/>
      <c r="AR518" s="15"/>
      <c r="AS518" s="15">
        <f t="shared" si="65"/>
        <v>0</v>
      </c>
      <c r="AT518" s="15"/>
      <c r="AU518" s="72"/>
      <c r="AV518" s="72"/>
      <c r="AW518" s="165">
        <f t="shared" si="62"/>
        <v>0</v>
      </c>
      <c r="AX518" s="72"/>
    </row>
    <row r="519" spans="1:50" ht="23.25" hidden="1">
      <c r="A519" s="18" t="s">
        <v>271</v>
      </c>
      <c r="B519" s="19">
        <v>-6</v>
      </c>
      <c r="C519" s="59"/>
      <c r="D519" s="54"/>
      <c r="E519" s="54"/>
      <c r="F519" s="54"/>
      <c r="G519" s="54"/>
      <c r="H519" s="54"/>
      <c r="I519" s="54"/>
      <c r="J519" s="54"/>
      <c r="K519" s="54"/>
      <c r="L519" s="14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6"/>
      <c r="AN519" s="16"/>
      <c r="AO519" s="16">
        <f t="shared" si="64"/>
        <v>0</v>
      </c>
      <c r="AP519" s="128"/>
      <c r="AQ519" s="15"/>
      <c r="AR519" s="15"/>
      <c r="AS519" s="15">
        <f t="shared" si="65"/>
        <v>0</v>
      </c>
      <c r="AT519" s="15"/>
      <c r="AU519" s="72"/>
      <c r="AV519" s="72"/>
      <c r="AW519" s="165">
        <f t="shared" si="62"/>
        <v>0</v>
      </c>
      <c r="AX519" s="72"/>
    </row>
    <row r="520" spans="1:50" ht="23.25" hidden="1">
      <c r="A520" s="18" t="s">
        <v>271</v>
      </c>
      <c r="B520" s="19">
        <v>-7</v>
      </c>
      <c r="C520" s="59"/>
      <c r="D520" s="54"/>
      <c r="E520" s="54"/>
      <c r="F520" s="54"/>
      <c r="G520" s="54"/>
      <c r="H520" s="54"/>
      <c r="I520" s="54"/>
      <c r="J520" s="54"/>
      <c r="K520" s="54"/>
      <c r="L520" s="14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6"/>
      <c r="AN520" s="16"/>
      <c r="AO520" s="16">
        <f t="shared" si="64"/>
        <v>0</v>
      </c>
      <c r="AP520" s="128"/>
      <c r="AQ520" s="15"/>
      <c r="AR520" s="15"/>
      <c r="AS520" s="15">
        <f t="shared" si="65"/>
        <v>0</v>
      </c>
      <c r="AT520" s="15"/>
      <c r="AU520" s="72"/>
      <c r="AV520" s="72"/>
      <c r="AW520" s="165">
        <f t="shared" si="62"/>
        <v>0</v>
      </c>
      <c r="AX520" s="72"/>
    </row>
    <row r="521" spans="1:50" ht="23.25" hidden="1">
      <c r="A521" s="18" t="s">
        <v>271</v>
      </c>
      <c r="B521" s="19">
        <v>-8</v>
      </c>
      <c r="C521" s="59"/>
      <c r="D521" s="54"/>
      <c r="E521" s="54"/>
      <c r="F521" s="54"/>
      <c r="G521" s="54"/>
      <c r="H521" s="54"/>
      <c r="I521" s="54"/>
      <c r="J521" s="54"/>
      <c r="K521" s="54"/>
      <c r="L521" s="14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6"/>
      <c r="AN521" s="16"/>
      <c r="AO521" s="16">
        <f t="shared" si="64"/>
        <v>0</v>
      </c>
      <c r="AP521" s="128"/>
      <c r="AQ521" s="15"/>
      <c r="AR521" s="15"/>
      <c r="AS521" s="15">
        <f t="shared" si="65"/>
        <v>0</v>
      </c>
      <c r="AT521" s="15"/>
      <c r="AU521" s="72"/>
      <c r="AV521" s="72"/>
      <c r="AW521" s="165">
        <f t="shared" si="62"/>
        <v>0</v>
      </c>
      <c r="AX521" s="72"/>
    </row>
    <row r="522" spans="1:50" ht="23.25" hidden="1">
      <c r="A522" s="18" t="s">
        <v>271</v>
      </c>
      <c r="B522" s="19">
        <v>-9</v>
      </c>
      <c r="C522" s="59"/>
      <c r="D522" s="54"/>
      <c r="E522" s="54"/>
      <c r="F522" s="54"/>
      <c r="G522" s="54"/>
      <c r="H522" s="54"/>
      <c r="I522" s="54"/>
      <c r="J522" s="54"/>
      <c r="K522" s="54"/>
      <c r="L522" s="14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6"/>
      <c r="AN522" s="16"/>
      <c r="AO522" s="16">
        <f t="shared" si="64"/>
        <v>0</v>
      </c>
      <c r="AP522" s="128"/>
      <c r="AQ522" s="15"/>
      <c r="AR522" s="15"/>
      <c r="AS522" s="15">
        <f t="shared" si="65"/>
        <v>0</v>
      </c>
      <c r="AT522" s="15"/>
      <c r="AU522" s="72"/>
      <c r="AV522" s="72"/>
      <c r="AW522" s="165">
        <f t="shared" si="62"/>
        <v>0</v>
      </c>
      <c r="AX522" s="72"/>
    </row>
    <row r="523" spans="1:50" ht="23.25" hidden="1">
      <c r="A523" s="18" t="s">
        <v>271</v>
      </c>
      <c r="B523" s="19">
        <v>-10</v>
      </c>
      <c r="C523" s="59"/>
      <c r="D523" s="54"/>
      <c r="E523" s="54"/>
      <c r="F523" s="54"/>
      <c r="G523" s="54"/>
      <c r="H523" s="54"/>
      <c r="I523" s="54"/>
      <c r="J523" s="54"/>
      <c r="K523" s="54"/>
      <c r="L523" s="14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6"/>
      <c r="AN523" s="16"/>
      <c r="AO523" s="16">
        <f t="shared" si="64"/>
        <v>0</v>
      </c>
      <c r="AP523" s="128"/>
      <c r="AQ523" s="15"/>
      <c r="AR523" s="15"/>
      <c r="AS523" s="15">
        <f t="shared" si="65"/>
        <v>0</v>
      </c>
      <c r="AT523" s="15"/>
      <c r="AU523" s="72"/>
      <c r="AV523" s="72"/>
      <c r="AW523" s="165">
        <f t="shared" si="62"/>
        <v>0</v>
      </c>
      <c r="AX523" s="72"/>
    </row>
    <row r="524" spans="1:50" ht="23.25" hidden="1">
      <c r="A524" s="18" t="s">
        <v>271</v>
      </c>
      <c r="B524" s="19">
        <v>-11</v>
      </c>
      <c r="C524" s="59"/>
      <c r="D524" s="54"/>
      <c r="E524" s="54"/>
      <c r="F524" s="54"/>
      <c r="G524" s="54"/>
      <c r="H524" s="54"/>
      <c r="I524" s="54"/>
      <c r="J524" s="54"/>
      <c r="K524" s="54"/>
      <c r="L524" s="14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6"/>
      <c r="AN524" s="16"/>
      <c r="AO524" s="16">
        <f t="shared" si="64"/>
        <v>0</v>
      </c>
      <c r="AP524" s="128"/>
      <c r="AQ524" s="15"/>
      <c r="AR524" s="15"/>
      <c r="AS524" s="15">
        <f t="shared" si="65"/>
        <v>0</v>
      </c>
      <c r="AT524" s="15"/>
      <c r="AU524" s="72"/>
      <c r="AV524" s="72"/>
      <c r="AW524" s="165">
        <f t="shared" si="62"/>
        <v>0</v>
      </c>
      <c r="AX524" s="72"/>
    </row>
    <row r="525" spans="1:50" ht="23.25" hidden="1">
      <c r="A525" s="18" t="s">
        <v>271</v>
      </c>
      <c r="B525" s="19">
        <v>-12</v>
      </c>
      <c r="C525" s="59"/>
      <c r="D525" s="54"/>
      <c r="E525" s="54"/>
      <c r="F525" s="54"/>
      <c r="G525" s="54"/>
      <c r="H525" s="54"/>
      <c r="I525" s="54"/>
      <c r="J525" s="54"/>
      <c r="K525" s="54"/>
      <c r="L525" s="14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6"/>
      <c r="AN525" s="16"/>
      <c r="AO525" s="16">
        <f t="shared" si="64"/>
        <v>0</v>
      </c>
      <c r="AP525" s="128"/>
      <c r="AQ525" s="15"/>
      <c r="AR525" s="15"/>
      <c r="AS525" s="15">
        <f t="shared" si="65"/>
        <v>0</v>
      </c>
      <c r="AT525" s="15"/>
      <c r="AU525" s="72"/>
      <c r="AV525" s="72"/>
      <c r="AW525" s="165">
        <f t="shared" si="62"/>
        <v>0</v>
      </c>
      <c r="AX525" s="72"/>
    </row>
    <row r="526" spans="1:50" ht="23.25" hidden="1">
      <c r="A526" s="18" t="s">
        <v>271</v>
      </c>
      <c r="B526" s="19">
        <v>-13</v>
      </c>
      <c r="C526" s="59"/>
      <c r="D526" s="54"/>
      <c r="E526" s="54"/>
      <c r="F526" s="54"/>
      <c r="G526" s="54"/>
      <c r="H526" s="54"/>
      <c r="I526" s="54"/>
      <c r="J526" s="54"/>
      <c r="K526" s="54"/>
      <c r="L526" s="14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6"/>
      <c r="AN526" s="16"/>
      <c r="AO526" s="16">
        <f t="shared" si="64"/>
        <v>0</v>
      </c>
      <c r="AP526" s="128"/>
      <c r="AQ526" s="15"/>
      <c r="AR526" s="15"/>
      <c r="AS526" s="15">
        <f t="shared" si="65"/>
        <v>0</v>
      </c>
      <c r="AT526" s="15"/>
      <c r="AU526" s="72"/>
      <c r="AV526" s="72"/>
      <c r="AW526" s="165">
        <f t="shared" si="62"/>
        <v>0</v>
      </c>
      <c r="AX526" s="72"/>
    </row>
    <row r="527" spans="1:50" ht="23.25" hidden="1">
      <c r="A527" s="18" t="s">
        <v>271</v>
      </c>
      <c r="B527" s="19">
        <v>-14</v>
      </c>
      <c r="C527" s="59"/>
      <c r="D527" s="54"/>
      <c r="E527" s="54"/>
      <c r="F527" s="54"/>
      <c r="G527" s="54"/>
      <c r="H527" s="54"/>
      <c r="I527" s="54"/>
      <c r="J527" s="54"/>
      <c r="K527" s="54"/>
      <c r="L527" s="14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6"/>
      <c r="AN527" s="16"/>
      <c r="AO527" s="16">
        <f t="shared" si="64"/>
        <v>0</v>
      </c>
      <c r="AP527" s="128"/>
      <c r="AQ527" s="15"/>
      <c r="AR527" s="15"/>
      <c r="AS527" s="15">
        <f t="shared" si="65"/>
        <v>0</v>
      </c>
      <c r="AT527" s="15"/>
      <c r="AU527" s="72"/>
      <c r="AV527" s="72"/>
      <c r="AW527" s="165">
        <f t="shared" si="62"/>
        <v>0</v>
      </c>
      <c r="AX527" s="72"/>
    </row>
    <row r="528" spans="1:50" ht="23.25" hidden="1">
      <c r="A528" s="18" t="s">
        <v>271</v>
      </c>
      <c r="B528" s="19">
        <v>-15</v>
      </c>
      <c r="C528" s="59"/>
      <c r="D528" s="54"/>
      <c r="E528" s="54"/>
      <c r="F528" s="54"/>
      <c r="G528" s="54"/>
      <c r="H528" s="54"/>
      <c r="I528" s="54"/>
      <c r="J528" s="54"/>
      <c r="K528" s="54"/>
      <c r="L528" s="14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6"/>
      <c r="AN528" s="16"/>
      <c r="AO528" s="16">
        <f t="shared" si="64"/>
        <v>0</v>
      </c>
      <c r="AP528" s="128"/>
      <c r="AQ528" s="15"/>
      <c r="AR528" s="15"/>
      <c r="AS528" s="15">
        <f t="shared" si="65"/>
        <v>0</v>
      </c>
      <c r="AT528" s="15"/>
      <c r="AU528" s="72"/>
      <c r="AV528" s="72"/>
      <c r="AW528" s="165">
        <f t="shared" si="62"/>
        <v>0</v>
      </c>
      <c r="AX528" s="72"/>
    </row>
    <row r="529" spans="1:50" ht="23.25" hidden="1">
      <c r="A529" s="18" t="s">
        <v>271</v>
      </c>
      <c r="B529" s="19">
        <v>-16</v>
      </c>
      <c r="C529" s="59"/>
      <c r="D529" s="54"/>
      <c r="E529" s="54"/>
      <c r="F529" s="54"/>
      <c r="G529" s="54"/>
      <c r="H529" s="54"/>
      <c r="I529" s="54"/>
      <c r="J529" s="54"/>
      <c r="K529" s="54"/>
      <c r="L529" s="14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6"/>
      <c r="AN529" s="16"/>
      <c r="AO529" s="16">
        <f t="shared" si="64"/>
        <v>0</v>
      </c>
      <c r="AP529" s="128"/>
      <c r="AQ529" s="15"/>
      <c r="AR529" s="15"/>
      <c r="AS529" s="15">
        <f t="shared" si="65"/>
        <v>0</v>
      </c>
      <c r="AT529" s="15"/>
      <c r="AU529" s="72"/>
      <c r="AV529" s="72"/>
      <c r="AW529" s="165">
        <f t="shared" si="62"/>
        <v>0</v>
      </c>
      <c r="AX529" s="72"/>
    </row>
    <row r="530" spans="1:50" ht="23.25" hidden="1">
      <c r="A530" s="18" t="s">
        <v>271</v>
      </c>
      <c r="B530" s="19">
        <v>-17</v>
      </c>
      <c r="C530" s="59"/>
      <c r="D530" s="54"/>
      <c r="E530" s="54"/>
      <c r="F530" s="54"/>
      <c r="G530" s="54"/>
      <c r="H530" s="54"/>
      <c r="I530" s="54"/>
      <c r="J530" s="54"/>
      <c r="K530" s="54"/>
      <c r="L530" s="14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6"/>
      <c r="AN530" s="16"/>
      <c r="AO530" s="16">
        <f t="shared" si="64"/>
        <v>0</v>
      </c>
      <c r="AP530" s="128"/>
      <c r="AQ530" s="15"/>
      <c r="AR530" s="15"/>
      <c r="AS530" s="15">
        <f t="shared" si="65"/>
        <v>0</v>
      </c>
      <c r="AT530" s="15"/>
      <c r="AU530" s="72"/>
      <c r="AV530" s="72"/>
      <c r="AW530" s="165">
        <f t="shared" si="62"/>
        <v>0</v>
      </c>
      <c r="AX530" s="72"/>
    </row>
    <row r="531" spans="1:50" ht="23.25" hidden="1">
      <c r="A531" s="18" t="s">
        <v>271</v>
      </c>
      <c r="B531" s="19">
        <v>-18</v>
      </c>
      <c r="C531" s="59"/>
      <c r="D531" s="54"/>
      <c r="E531" s="54"/>
      <c r="F531" s="54"/>
      <c r="G531" s="54"/>
      <c r="H531" s="54"/>
      <c r="I531" s="54"/>
      <c r="J531" s="54"/>
      <c r="K531" s="54"/>
      <c r="L531" s="14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6"/>
      <c r="AN531" s="16"/>
      <c r="AO531" s="16">
        <f t="shared" si="64"/>
        <v>0</v>
      </c>
      <c r="AP531" s="128"/>
      <c r="AQ531" s="15"/>
      <c r="AR531" s="15"/>
      <c r="AS531" s="15">
        <f t="shared" si="65"/>
        <v>0</v>
      </c>
      <c r="AT531" s="15"/>
      <c r="AU531" s="72"/>
      <c r="AV531" s="72"/>
      <c r="AW531" s="165">
        <f t="shared" si="62"/>
        <v>0</v>
      </c>
      <c r="AX531" s="72"/>
    </row>
    <row r="532" spans="1:50" ht="23.25" hidden="1">
      <c r="A532" s="18" t="s">
        <v>271</v>
      </c>
      <c r="B532" s="19">
        <v>-19</v>
      </c>
      <c r="C532" s="59"/>
      <c r="D532" s="54"/>
      <c r="E532" s="54"/>
      <c r="F532" s="54"/>
      <c r="G532" s="54"/>
      <c r="H532" s="54"/>
      <c r="I532" s="54"/>
      <c r="J532" s="54"/>
      <c r="K532" s="54"/>
      <c r="L532" s="14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6"/>
      <c r="AN532" s="16"/>
      <c r="AO532" s="16">
        <f t="shared" si="64"/>
        <v>0</v>
      </c>
      <c r="AP532" s="128"/>
      <c r="AQ532" s="15"/>
      <c r="AR532" s="15"/>
      <c r="AS532" s="15">
        <f t="shared" si="65"/>
        <v>0</v>
      </c>
      <c r="AT532" s="15"/>
      <c r="AU532" s="72"/>
      <c r="AV532" s="72"/>
      <c r="AW532" s="165">
        <f t="shared" si="62"/>
        <v>0</v>
      </c>
      <c r="AX532" s="72"/>
    </row>
    <row r="533" spans="1:50" ht="23.25" hidden="1">
      <c r="A533" s="18" t="s">
        <v>271</v>
      </c>
      <c r="B533" s="19">
        <v>-20</v>
      </c>
      <c r="C533" s="59"/>
      <c r="D533" s="54"/>
      <c r="E533" s="54"/>
      <c r="F533" s="54"/>
      <c r="G533" s="54"/>
      <c r="H533" s="54"/>
      <c r="I533" s="54"/>
      <c r="J533" s="54"/>
      <c r="K533" s="54"/>
      <c r="L533" s="14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6"/>
      <c r="AN533" s="16"/>
      <c r="AO533" s="16">
        <f t="shared" si="64"/>
        <v>0</v>
      </c>
      <c r="AP533" s="128"/>
      <c r="AQ533" s="15"/>
      <c r="AR533" s="15"/>
      <c r="AS533" s="15">
        <f t="shared" si="65"/>
        <v>0</v>
      </c>
      <c r="AT533" s="15"/>
      <c r="AU533" s="72"/>
      <c r="AV533" s="72"/>
      <c r="AW533" s="165">
        <f t="shared" si="62"/>
        <v>0</v>
      </c>
      <c r="AX533" s="72"/>
    </row>
    <row r="534" spans="1:50" ht="23.25" hidden="1">
      <c r="A534" s="18" t="s">
        <v>271</v>
      </c>
      <c r="B534" s="19">
        <v>-21</v>
      </c>
      <c r="C534" s="59"/>
      <c r="D534" s="54"/>
      <c r="E534" s="54"/>
      <c r="F534" s="54"/>
      <c r="G534" s="54"/>
      <c r="H534" s="54"/>
      <c r="I534" s="54"/>
      <c r="J534" s="54"/>
      <c r="K534" s="54"/>
      <c r="L534" s="14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6"/>
      <c r="AN534" s="16"/>
      <c r="AO534" s="16">
        <f t="shared" si="64"/>
        <v>0</v>
      </c>
      <c r="AP534" s="128"/>
      <c r="AQ534" s="15"/>
      <c r="AR534" s="15"/>
      <c r="AS534" s="15">
        <f t="shared" si="65"/>
        <v>0</v>
      </c>
      <c r="AT534" s="15"/>
      <c r="AU534" s="72"/>
      <c r="AV534" s="72"/>
      <c r="AW534" s="165">
        <f t="shared" si="62"/>
        <v>0</v>
      </c>
      <c r="AX534" s="72"/>
    </row>
    <row r="535" spans="1:50" ht="23.25" hidden="1">
      <c r="A535" s="18" t="s">
        <v>271</v>
      </c>
      <c r="B535" s="19">
        <v>-22</v>
      </c>
      <c r="C535" s="59"/>
      <c r="D535" s="54"/>
      <c r="E535" s="54"/>
      <c r="F535" s="54"/>
      <c r="G535" s="54"/>
      <c r="H535" s="54"/>
      <c r="I535" s="54"/>
      <c r="J535" s="54"/>
      <c r="K535" s="54"/>
      <c r="L535" s="14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6"/>
      <c r="AN535" s="16"/>
      <c r="AO535" s="16">
        <f t="shared" si="64"/>
        <v>0</v>
      </c>
      <c r="AP535" s="128"/>
      <c r="AQ535" s="15"/>
      <c r="AR535" s="15"/>
      <c r="AS535" s="15">
        <f t="shared" si="65"/>
        <v>0</v>
      </c>
      <c r="AT535" s="15"/>
      <c r="AU535" s="72"/>
      <c r="AV535" s="72"/>
      <c r="AW535" s="165">
        <f t="shared" si="62"/>
        <v>0</v>
      </c>
      <c r="AX535" s="72"/>
    </row>
    <row r="536" spans="1:50" ht="23.25" hidden="1">
      <c r="A536" s="18" t="s">
        <v>271</v>
      </c>
      <c r="B536" s="19"/>
      <c r="C536" s="54"/>
      <c r="D536" s="54"/>
      <c r="E536" s="54"/>
      <c r="F536" s="54"/>
      <c r="G536" s="54"/>
      <c r="H536" s="54"/>
      <c r="I536" s="54"/>
      <c r="J536" s="54"/>
      <c r="K536" s="54"/>
      <c r="L536" s="14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6"/>
      <c r="AN536" s="16"/>
      <c r="AO536" s="16">
        <f t="shared" si="64"/>
        <v>0</v>
      </c>
      <c r="AP536" s="128"/>
      <c r="AQ536" s="15"/>
      <c r="AR536" s="15"/>
      <c r="AS536" s="15">
        <f t="shared" si="65"/>
        <v>0</v>
      </c>
      <c r="AT536" s="15"/>
      <c r="AU536" s="72"/>
      <c r="AV536" s="72"/>
      <c r="AW536" s="165">
        <f t="shared" si="62"/>
        <v>0</v>
      </c>
      <c r="AX536" s="72"/>
    </row>
    <row r="537" spans="1:50" ht="23.25">
      <c r="A537" s="18" t="s">
        <v>272</v>
      </c>
      <c r="B537" s="19"/>
      <c r="C537" s="54"/>
      <c r="D537" s="54"/>
      <c r="E537" s="54"/>
      <c r="F537" s="54"/>
      <c r="G537" s="54"/>
      <c r="H537" s="54"/>
      <c r="I537" s="54"/>
      <c r="J537" s="54"/>
      <c r="K537" s="54"/>
      <c r="L537" s="14"/>
      <c r="M537" s="15">
        <v>1454683</v>
      </c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>
        <v>2778000</v>
      </c>
      <c r="AD537" s="15"/>
      <c r="AE537" s="15">
        <v>223000</v>
      </c>
      <c r="AF537" s="15"/>
      <c r="AG537" s="15">
        <v>78000</v>
      </c>
      <c r="AH537" s="15"/>
      <c r="AI537" s="15">
        <v>1630000</v>
      </c>
      <c r="AJ537" s="15"/>
      <c r="AK537" s="15">
        <f>1450832-11000-295000-52500+4568000</f>
        <v>5660332</v>
      </c>
      <c r="AL537" s="15"/>
      <c r="AM537" s="16">
        <v>270000</v>
      </c>
      <c r="AN537" s="16"/>
      <c r="AO537" s="16">
        <f t="shared" si="64"/>
        <v>1724683</v>
      </c>
      <c r="AP537" s="128"/>
      <c r="AQ537" s="15"/>
      <c r="AR537" s="15">
        <v>1724683</v>
      </c>
      <c r="AS537" s="15">
        <f t="shared" si="65"/>
        <v>0</v>
      </c>
      <c r="AT537" s="15"/>
      <c r="AU537" s="72"/>
      <c r="AV537" s="72"/>
      <c r="AW537" s="165">
        <f t="shared" si="62"/>
        <v>0</v>
      </c>
      <c r="AX537" s="72"/>
    </row>
    <row r="538" spans="1:50" ht="23.25" hidden="1">
      <c r="A538" s="18"/>
      <c r="B538" s="19">
        <v>-1</v>
      </c>
      <c r="C538" s="59"/>
      <c r="D538" s="54"/>
      <c r="E538" s="54"/>
      <c r="F538" s="54"/>
      <c r="G538" s="54"/>
      <c r="H538" s="54"/>
      <c r="I538" s="54"/>
      <c r="J538" s="54"/>
      <c r="K538" s="54"/>
      <c r="L538" s="14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6"/>
      <c r="AN538" s="16"/>
      <c r="AO538" s="16">
        <f t="shared" si="64"/>
        <v>0</v>
      </c>
      <c r="AP538" s="128"/>
      <c r="AQ538" s="15"/>
      <c r="AR538" s="15"/>
      <c r="AS538" s="15">
        <f t="shared" si="65"/>
        <v>0</v>
      </c>
      <c r="AT538" s="15"/>
      <c r="AU538" s="72"/>
      <c r="AV538" s="72"/>
      <c r="AW538" s="165">
        <f t="shared" si="62"/>
        <v>0</v>
      </c>
      <c r="AX538" s="72"/>
    </row>
    <row r="539" spans="1:50" ht="23.25" hidden="1">
      <c r="A539" s="18"/>
      <c r="B539" s="19"/>
      <c r="C539" s="59"/>
      <c r="D539" s="54"/>
      <c r="E539" s="54"/>
      <c r="F539" s="54"/>
      <c r="G539" s="54"/>
      <c r="H539" s="54"/>
      <c r="I539" s="54"/>
      <c r="J539" s="54"/>
      <c r="K539" s="54"/>
      <c r="L539" s="14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6"/>
      <c r="AN539" s="16"/>
      <c r="AO539" s="16">
        <f t="shared" si="64"/>
        <v>0</v>
      </c>
      <c r="AP539" s="128"/>
      <c r="AQ539" s="15"/>
      <c r="AR539" s="15"/>
      <c r="AS539" s="15">
        <f t="shared" si="65"/>
        <v>0</v>
      </c>
      <c r="AT539" s="15"/>
      <c r="AU539" s="72"/>
      <c r="AV539" s="72"/>
      <c r="AW539" s="165">
        <f t="shared" si="62"/>
        <v>0</v>
      </c>
      <c r="AX539" s="72"/>
    </row>
    <row r="540" spans="1:50" ht="23.25" hidden="1">
      <c r="A540" s="18"/>
      <c r="B540" s="19"/>
      <c r="C540" s="59"/>
      <c r="D540" s="54"/>
      <c r="E540" s="54"/>
      <c r="F540" s="54"/>
      <c r="G540" s="54"/>
      <c r="H540" s="54"/>
      <c r="I540" s="54"/>
      <c r="J540" s="54"/>
      <c r="K540" s="54"/>
      <c r="L540" s="14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6"/>
      <c r="AN540" s="16"/>
      <c r="AO540" s="16">
        <f t="shared" si="64"/>
        <v>0</v>
      </c>
      <c r="AP540" s="128"/>
      <c r="AQ540" s="15"/>
      <c r="AR540" s="15"/>
      <c r="AS540" s="15">
        <f t="shared" si="65"/>
        <v>0</v>
      </c>
      <c r="AT540" s="15"/>
      <c r="AU540" s="72"/>
      <c r="AV540" s="72"/>
      <c r="AW540" s="165">
        <f t="shared" si="62"/>
        <v>0</v>
      </c>
      <c r="AX540" s="72"/>
    </row>
    <row r="541" spans="1:50" ht="23.25" hidden="1">
      <c r="A541" s="18"/>
      <c r="B541" s="19">
        <v>-2</v>
      </c>
      <c r="C541" s="59"/>
      <c r="D541" s="54"/>
      <c r="E541" s="54"/>
      <c r="F541" s="54"/>
      <c r="G541" s="54"/>
      <c r="H541" s="54"/>
      <c r="I541" s="54"/>
      <c r="J541" s="54"/>
      <c r="K541" s="54"/>
      <c r="L541" s="14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6"/>
      <c r="AN541" s="16"/>
      <c r="AO541" s="16">
        <f t="shared" si="64"/>
        <v>0</v>
      </c>
      <c r="AP541" s="128"/>
      <c r="AQ541" s="15"/>
      <c r="AR541" s="15"/>
      <c r="AS541" s="15">
        <f t="shared" si="65"/>
        <v>0</v>
      </c>
      <c r="AT541" s="15"/>
      <c r="AU541" s="72"/>
      <c r="AV541" s="72"/>
      <c r="AW541" s="165">
        <f t="shared" si="62"/>
        <v>0</v>
      </c>
      <c r="AX541" s="72"/>
    </row>
    <row r="542" spans="1:50" ht="23.25" hidden="1">
      <c r="A542" s="18"/>
      <c r="B542" s="19"/>
      <c r="C542" s="59"/>
      <c r="D542" s="54"/>
      <c r="E542" s="54"/>
      <c r="F542" s="54"/>
      <c r="G542" s="54"/>
      <c r="H542" s="54"/>
      <c r="I542" s="54"/>
      <c r="J542" s="54"/>
      <c r="K542" s="54"/>
      <c r="L542" s="14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6"/>
      <c r="AN542" s="16"/>
      <c r="AO542" s="16">
        <f t="shared" si="64"/>
        <v>0</v>
      </c>
      <c r="AP542" s="128"/>
      <c r="AQ542" s="15"/>
      <c r="AR542" s="15"/>
      <c r="AS542" s="15">
        <f t="shared" si="65"/>
        <v>0</v>
      </c>
      <c r="AT542" s="15"/>
      <c r="AU542" s="72"/>
      <c r="AV542" s="72"/>
      <c r="AW542" s="165">
        <f t="shared" si="62"/>
        <v>0</v>
      </c>
      <c r="AX542" s="72"/>
    </row>
    <row r="543" spans="1:50" ht="23.25" hidden="1">
      <c r="A543" s="18"/>
      <c r="B543" s="19"/>
      <c r="C543" s="59"/>
      <c r="D543" s="54"/>
      <c r="E543" s="54"/>
      <c r="F543" s="54"/>
      <c r="G543" s="54"/>
      <c r="H543" s="54"/>
      <c r="I543" s="54"/>
      <c r="J543" s="54"/>
      <c r="K543" s="54"/>
      <c r="L543" s="14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6"/>
      <c r="AN543" s="16"/>
      <c r="AO543" s="16">
        <f t="shared" si="64"/>
        <v>0</v>
      </c>
      <c r="AP543" s="128"/>
      <c r="AQ543" s="15"/>
      <c r="AR543" s="15"/>
      <c r="AS543" s="15">
        <f t="shared" si="65"/>
        <v>0</v>
      </c>
      <c r="AT543" s="15"/>
      <c r="AU543" s="72"/>
      <c r="AV543" s="72"/>
      <c r="AW543" s="165">
        <f t="shared" si="62"/>
        <v>0</v>
      </c>
      <c r="AX543" s="72"/>
    </row>
    <row r="544" spans="1:50" ht="23.25" hidden="1">
      <c r="A544" s="18"/>
      <c r="B544" s="19">
        <v>-3</v>
      </c>
      <c r="C544" s="59"/>
      <c r="D544" s="54"/>
      <c r="E544" s="54"/>
      <c r="F544" s="54"/>
      <c r="G544" s="54"/>
      <c r="H544" s="54"/>
      <c r="I544" s="54"/>
      <c r="J544" s="54"/>
      <c r="K544" s="54"/>
      <c r="L544" s="14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6"/>
      <c r="AN544" s="16"/>
      <c r="AO544" s="16">
        <f aca="true" t="shared" si="66" ref="AO544:AO575">M544+AM544-AN544</f>
        <v>0</v>
      </c>
      <c r="AP544" s="128"/>
      <c r="AQ544" s="15"/>
      <c r="AR544" s="15"/>
      <c r="AS544" s="15">
        <f t="shared" si="65"/>
        <v>0</v>
      </c>
      <c r="AT544" s="15"/>
      <c r="AU544" s="72"/>
      <c r="AV544" s="72"/>
      <c r="AW544" s="165">
        <f t="shared" si="62"/>
        <v>0</v>
      </c>
      <c r="AX544" s="72"/>
    </row>
    <row r="545" spans="1:50" ht="23.25" hidden="1">
      <c r="A545" s="18"/>
      <c r="B545" s="19">
        <v>-4</v>
      </c>
      <c r="C545" s="59"/>
      <c r="D545" s="54"/>
      <c r="E545" s="54"/>
      <c r="F545" s="54"/>
      <c r="G545" s="54"/>
      <c r="H545" s="54"/>
      <c r="I545" s="54"/>
      <c r="J545" s="54"/>
      <c r="K545" s="54"/>
      <c r="L545" s="14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6"/>
      <c r="AN545" s="16"/>
      <c r="AO545" s="16">
        <f t="shared" si="66"/>
        <v>0</v>
      </c>
      <c r="AP545" s="128"/>
      <c r="AQ545" s="15"/>
      <c r="AR545" s="15"/>
      <c r="AS545" s="15">
        <f t="shared" si="65"/>
        <v>0</v>
      </c>
      <c r="AT545" s="15"/>
      <c r="AU545" s="72"/>
      <c r="AV545" s="72"/>
      <c r="AW545" s="165">
        <f t="shared" si="62"/>
        <v>0</v>
      </c>
      <c r="AX545" s="72"/>
    </row>
    <row r="546" spans="1:50" ht="23.25" hidden="1">
      <c r="A546" s="18"/>
      <c r="B546" s="19">
        <v>-5</v>
      </c>
      <c r="C546" s="59"/>
      <c r="D546" s="54"/>
      <c r="E546" s="54"/>
      <c r="F546" s="54"/>
      <c r="G546" s="54"/>
      <c r="H546" s="54"/>
      <c r="I546" s="54"/>
      <c r="J546" s="54"/>
      <c r="K546" s="54"/>
      <c r="L546" s="14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6"/>
      <c r="AN546" s="16"/>
      <c r="AO546" s="16">
        <f t="shared" si="66"/>
        <v>0</v>
      </c>
      <c r="AP546" s="128"/>
      <c r="AQ546" s="15"/>
      <c r="AR546" s="15"/>
      <c r="AS546" s="15">
        <f t="shared" si="65"/>
        <v>0</v>
      </c>
      <c r="AT546" s="15"/>
      <c r="AU546" s="72"/>
      <c r="AV546" s="72"/>
      <c r="AW546" s="165">
        <f t="shared" si="62"/>
        <v>0</v>
      </c>
      <c r="AX546" s="72"/>
    </row>
    <row r="547" spans="1:50" ht="23.25" hidden="1">
      <c r="A547" s="18"/>
      <c r="B547" s="19">
        <v>-6</v>
      </c>
      <c r="C547" s="59"/>
      <c r="D547" s="54"/>
      <c r="E547" s="54"/>
      <c r="F547" s="54"/>
      <c r="G547" s="54"/>
      <c r="H547" s="54"/>
      <c r="I547" s="54"/>
      <c r="J547" s="54"/>
      <c r="K547" s="54"/>
      <c r="L547" s="14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6"/>
      <c r="AN547" s="16"/>
      <c r="AO547" s="16">
        <f t="shared" si="66"/>
        <v>0</v>
      </c>
      <c r="AP547" s="128"/>
      <c r="AQ547" s="15"/>
      <c r="AR547" s="15"/>
      <c r="AS547" s="15">
        <f t="shared" si="65"/>
        <v>0</v>
      </c>
      <c r="AT547" s="15"/>
      <c r="AU547" s="72"/>
      <c r="AV547" s="72"/>
      <c r="AW547" s="165">
        <f t="shared" si="62"/>
        <v>0</v>
      </c>
      <c r="AX547" s="72"/>
    </row>
    <row r="548" spans="1:50" ht="23.25" hidden="1">
      <c r="A548" s="18"/>
      <c r="B548" s="19">
        <v>-7</v>
      </c>
      <c r="C548" s="59"/>
      <c r="D548" s="54"/>
      <c r="E548" s="54"/>
      <c r="F548" s="54"/>
      <c r="G548" s="54"/>
      <c r="H548" s="54"/>
      <c r="I548" s="54"/>
      <c r="J548" s="54"/>
      <c r="K548" s="54"/>
      <c r="L548" s="14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6"/>
      <c r="AN548" s="16"/>
      <c r="AO548" s="16">
        <f t="shared" si="66"/>
        <v>0</v>
      </c>
      <c r="AP548" s="128"/>
      <c r="AQ548" s="15"/>
      <c r="AR548" s="15"/>
      <c r="AS548" s="15">
        <f aca="true" t="shared" si="67" ref="AS548:AS579">AO548-AR548</f>
        <v>0</v>
      </c>
      <c r="AT548" s="15"/>
      <c r="AU548" s="72"/>
      <c r="AV548" s="72"/>
      <c r="AW548" s="165">
        <f t="shared" si="62"/>
        <v>0</v>
      </c>
      <c r="AX548" s="72"/>
    </row>
    <row r="549" spans="1:50" ht="23.25" hidden="1">
      <c r="A549" s="18"/>
      <c r="B549" s="19">
        <v>-8</v>
      </c>
      <c r="C549" s="59"/>
      <c r="D549" s="54"/>
      <c r="E549" s="54"/>
      <c r="F549" s="54"/>
      <c r="G549" s="54"/>
      <c r="H549" s="54"/>
      <c r="I549" s="54"/>
      <c r="J549" s="54"/>
      <c r="K549" s="54"/>
      <c r="L549" s="14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6"/>
      <c r="AN549" s="16"/>
      <c r="AO549" s="16">
        <f t="shared" si="66"/>
        <v>0</v>
      </c>
      <c r="AP549" s="128"/>
      <c r="AQ549" s="15"/>
      <c r="AR549" s="15"/>
      <c r="AS549" s="15">
        <f t="shared" si="67"/>
        <v>0</v>
      </c>
      <c r="AT549" s="15"/>
      <c r="AU549" s="72"/>
      <c r="AV549" s="72"/>
      <c r="AW549" s="165">
        <f aca="true" t="shared" si="68" ref="AW549:AW585">AS549+AU549-AV549</f>
        <v>0</v>
      </c>
      <c r="AX549" s="72"/>
    </row>
    <row r="550" spans="1:50" ht="23.25" hidden="1">
      <c r="A550" s="18"/>
      <c r="B550" s="19">
        <v>-9</v>
      </c>
      <c r="C550" s="59"/>
      <c r="D550" s="54"/>
      <c r="E550" s="54"/>
      <c r="F550" s="54"/>
      <c r="G550" s="54"/>
      <c r="H550" s="54"/>
      <c r="I550" s="54"/>
      <c r="J550" s="54"/>
      <c r="K550" s="54"/>
      <c r="L550" s="14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6"/>
      <c r="AN550" s="16"/>
      <c r="AO550" s="16">
        <f t="shared" si="66"/>
        <v>0</v>
      </c>
      <c r="AP550" s="128"/>
      <c r="AQ550" s="15"/>
      <c r="AR550" s="15"/>
      <c r="AS550" s="15">
        <f t="shared" si="67"/>
        <v>0</v>
      </c>
      <c r="AT550" s="15"/>
      <c r="AU550" s="72"/>
      <c r="AV550" s="72"/>
      <c r="AW550" s="165">
        <f t="shared" si="68"/>
        <v>0</v>
      </c>
      <c r="AX550" s="72"/>
    </row>
    <row r="551" spans="1:50" ht="23.25" hidden="1">
      <c r="A551" s="18"/>
      <c r="B551" s="19">
        <v>-10</v>
      </c>
      <c r="C551" s="59"/>
      <c r="D551" s="54"/>
      <c r="E551" s="54"/>
      <c r="F551" s="54"/>
      <c r="G551" s="54"/>
      <c r="H551" s="54"/>
      <c r="I551" s="54"/>
      <c r="J551" s="54"/>
      <c r="K551" s="54"/>
      <c r="L551" s="14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6"/>
      <c r="AN551" s="16"/>
      <c r="AO551" s="16">
        <f t="shared" si="66"/>
        <v>0</v>
      </c>
      <c r="AP551" s="128"/>
      <c r="AQ551" s="15"/>
      <c r="AR551" s="15"/>
      <c r="AS551" s="15">
        <f t="shared" si="67"/>
        <v>0</v>
      </c>
      <c r="AT551" s="15"/>
      <c r="AU551" s="72"/>
      <c r="AV551" s="72"/>
      <c r="AW551" s="165">
        <f t="shared" si="68"/>
        <v>0</v>
      </c>
      <c r="AX551" s="72"/>
    </row>
    <row r="552" spans="1:50" ht="23.25" hidden="1">
      <c r="A552" s="18"/>
      <c r="B552" s="19">
        <v>-11</v>
      </c>
      <c r="C552" s="59"/>
      <c r="D552" s="54"/>
      <c r="E552" s="54"/>
      <c r="F552" s="54"/>
      <c r="G552" s="54"/>
      <c r="H552" s="54"/>
      <c r="I552" s="54"/>
      <c r="J552" s="54"/>
      <c r="K552" s="54"/>
      <c r="L552" s="14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6"/>
      <c r="AN552" s="16"/>
      <c r="AO552" s="16">
        <f t="shared" si="66"/>
        <v>0</v>
      </c>
      <c r="AP552" s="128"/>
      <c r="AQ552" s="15"/>
      <c r="AR552" s="15"/>
      <c r="AS552" s="15">
        <f t="shared" si="67"/>
        <v>0</v>
      </c>
      <c r="AT552" s="15"/>
      <c r="AU552" s="72"/>
      <c r="AV552" s="72"/>
      <c r="AW552" s="165">
        <f t="shared" si="68"/>
        <v>0</v>
      </c>
      <c r="AX552" s="72"/>
    </row>
    <row r="553" spans="1:50" ht="23.25" hidden="1">
      <c r="A553" s="18"/>
      <c r="B553" s="19">
        <v>-12</v>
      </c>
      <c r="C553" s="59"/>
      <c r="D553" s="54"/>
      <c r="E553" s="54"/>
      <c r="F553" s="54"/>
      <c r="G553" s="54"/>
      <c r="H553" s="54"/>
      <c r="I553" s="54"/>
      <c r="J553" s="54"/>
      <c r="K553" s="54"/>
      <c r="L553" s="14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6"/>
      <c r="AN553" s="16"/>
      <c r="AO553" s="16">
        <f t="shared" si="66"/>
        <v>0</v>
      </c>
      <c r="AP553" s="128"/>
      <c r="AQ553" s="15"/>
      <c r="AR553" s="15"/>
      <c r="AS553" s="15">
        <f t="shared" si="67"/>
        <v>0</v>
      </c>
      <c r="AT553" s="15"/>
      <c r="AU553" s="72"/>
      <c r="AV553" s="72"/>
      <c r="AW553" s="165">
        <f t="shared" si="68"/>
        <v>0</v>
      </c>
      <c r="AX553" s="72"/>
    </row>
    <row r="554" spans="1:50" ht="23.25" hidden="1">
      <c r="A554" s="18"/>
      <c r="B554" s="19">
        <v>-13</v>
      </c>
      <c r="C554" s="59"/>
      <c r="D554" s="54"/>
      <c r="E554" s="54"/>
      <c r="F554" s="54"/>
      <c r="G554" s="54"/>
      <c r="H554" s="54"/>
      <c r="I554" s="54"/>
      <c r="J554" s="54"/>
      <c r="K554" s="54"/>
      <c r="L554" s="14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6"/>
      <c r="AN554" s="16"/>
      <c r="AO554" s="16">
        <f t="shared" si="66"/>
        <v>0</v>
      </c>
      <c r="AP554" s="128"/>
      <c r="AQ554" s="15"/>
      <c r="AR554" s="15"/>
      <c r="AS554" s="15">
        <f t="shared" si="67"/>
        <v>0</v>
      </c>
      <c r="AT554" s="15"/>
      <c r="AU554" s="72"/>
      <c r="AV554" s="72"/>
      <c r="AW554" s="165">
        <f t="shared" si="68"/>
        <v>0</v>
      </c>
      <c r="AX554" s="72"/>
    </row>
    <row r="555" spans="1:50" ht="23.25" hidden="1">
      <c r="A555" s="18"/>
      <c r="B555" s="19">
        <v>-14</v>
      </c>
      <c r="C555" s="59"/>
      <c r="D555" s="54"/>
      <c r="E555" s="54"/>
      <c r="F555" s="54"/>
      <c r="G555" s="54"/>
      <c r="H555" s="54"/>
      <c r="I555" s="54"/>
      <c r="J555" s="54"/>
      <c r="K555" s="54"/>
      <c r="L555" s="14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6"/>
      <c r="AN555" s="16"/>
      <c r="AO555" s="16">
        <f t="shared" si="66"/>
        <v>0</v>
      </c>
      <c r="AP555" s="128"/>
      <c r="AQ555" s="15"/>
      <c r="AR555" s="15"/>
      <c r="AS555" s="15">
        <f t="shared" si="67"/>
        <v>0</v>
      </c>
      <c r="AT555" s="15"/>
      <c r="AU555" s="72"/>
      <c r="AV555" s="72"/>
      <c r="AW555" s="165">
        <f t="shared" si="68"/>
        <v>0</v>
      </c>
      <c r="AX555" s="72"/>
    </row>
    <row r="556" spans="1:50" ht="23.25" hidden="1">
      <c r="A556" s="18"/>
      <c r="B556" s="19">
        <v>-15</v>
      </c>
      <c r="C556" s="59"/>
      <c r="D556" s="54"/>
      <c r="E556" s="54"/>
      <c r="F556" s="54"/>
      <c r="G556" s="54"/>
      <c r="H556" s="54"/>
      <c r="I556" s="54"/>
      <c r="J556" s="54"/>
      <c r="K556" s="54"/>
      <c r="L556" s="14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6"/>
      <c r="AN556" s="16"/>
      <c r="AO556" s="16">
        <f t="shared" si="66"/>
        <v>0</v>
      </c>
      <c r="AP556" s="128"/>
      <c r="AQ556" s="15"/>
      <c r="AR556" s="15"/>
      <c r="AS556" s="15">
        <f t="shared" si="67"/>
        <v>0</v>
      </c>
      <c r="AT556" s="15"/>
      <c r="AU556" s="72"/>
      <c r="AV556" s="72"/>
      <c r="AW556" s="165">
        <f t="shared" si="68"/>
        <v>0</v>
      </c>
      <c r="AX556" s="72"/>
    </row>
    <row r="557" spans="1:50" ht="23.25" hidden="1">
      <c r="A557" s="18"/>
      <c r="B557" s="19">
        <v>-16</v>
      </c>
      <c r="C557" s="59"/>
      <c r="D557" s="54"/>
      <c r="E557" s="54"/>
      <c r="F557" s="54"/>
      <c r="G557" s="54"/>
      <c r="H557" s="54"/>
      <c r="I557" s="54"/>
      <c r="J557" s="54"/>
      <c r="K557" s="54"/>
      <c r="L557" s="14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6"/>
      <c r="AN557" s="16"/>
      <c r="AO557" s="16">
        <f t="shared" si="66"/>
        <v>0</v>
      </c>
      <c r="AP557" s="128"/>
      <c r="AQ557" s="15"/>
      <c r="AR557" s="15"/>
      <c r="AS557" s="15">
        <f t="shared" si="67"/>
        <v>0</v>
      </c>
      <c r="AT557" s="15"/>
      <c r="AU557" s="72"/>
      <c r="AV557" s="72"/>
      <c r="AW557" s="165">
        <f t="shared" si="68"/>
        <v>0</v>
      </c>
      <c r="AX557" s="72"/>
    </row>
    <row r="558" spans="1:50" ht="23.25" hidden="1">
      <c r="A558" s="18"/>
      <c r="B558" s="19">
        <v>-17</v>
      </c>
      <c r="C558" s="59"/>
      <c r="D558" s="54"/>
      <c r="E558" s="54"/>
      <c r="F558" s="54"/>
      <c r="G558" s="54"/>
      <c r="H558" s="54"/>
      <c r="I558" s="54"/>
      <c r="J558" s="54"/>
      <c r="K558" s="54"/>
      <c r="L558" s="14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6"/>
      <c r="AN558" s="16"/>
      <c r="AO558" s="16">
        <f t="shared" si="66"/>
        <v>0</v>
      </c>
      <c r="AP558" s="128"/>
      <c r="AQ558" s="15"/>
      <c r="AR558" s="15"/>
      <c r="AS558" s="15">
        <f t="shared" si="67"/>
        <v>0</v>
      </c>
      <c r="AT558" s="15"/>
      <c r="AU558" s="72"/>
      <c r="AV558" s="72"/>
      <c r="AW558" s="165">
        <f t="shared" si="68"/>
        <v>0</v>
      </c>
      <c r="AX558" s="72"/>
    </row>
    <row r="559" spans="1:50" ht="23.25" hidden="1">
      <c r="A559" s="18"/>
      <c r="B559" s="19">
        <v>-18</v>
      </c>
      <c r="C559" s="59"/>
      <c r="D559" s="54"/>
      <c r="E559" s="54"/>
      <c r="F559" s="54"/>
      <c r="G559" s="54"/>
      <c r="H559" s="54"/>
      <c r="I559" s="54"/>
      <c r="J559" s="54"/>
      <c r="K559" s="54"/>
      <c r="L559" s="14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6"/>
      <c r="AN559" s="16"/>
      <c r="AO559" s="16">
        <f t="shared" si="66"/>
        <v>0</v>
      </c>
      <c r="AP559" s="128"/>
      <c r="AQ559" s="15"/>
      <c r="AR559" s="15"/>
      <c r="AS559" s="15">
        <f t="shared" si="67"/>
        <v>0</v>
      </c>
      <c r="AT559" s="15"/>
      <c r="AU559" s="72"/>
      <c r="AV559" s="72"/>
      <c r="AW559" s="165">
        <f t="shared" si="68"/>
        <v>0</v>
      </c>
      <c r="AX559" s="72"/>
    </row>
    <row r="560" spans="1:50" ht="23.25" hidden="1">
      <c r="A560" s="18"/>
      <c r="B560" s="19">
        <v>-19</v>
      </c>
      <c r="C560" s="59"/>
      <c r="D560" s="54"/>
      <c r="E560" s="54"/>
      <c r="F560" s="54"/>
      <c r="G560" s="54"/>
      <c r="H560" s="54"/>
      <c r="I560" s="54"/>
      <c r="J560" s="54"/>
      <c r="K560" s="54"/>
      <c r="L560" s="14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6"/>
      <c r="AN560" s="16"/>
      <c r="AO560" s="16">
        <f t="shared" si="66"/>
        <v>0</v>
      </c>
      <c r="AP560" s="128"/>
      <c r="AQ560" s="15"/>
      <c r="AR560" s="15"/>
      <c r="AS560" s="15">
        <f t="shared" si="67"/>
        <v>0</v>
      </c>
      <c r="AT560" s="15"/>
      <c r="AU560" s="72"/>
      <c r="AV560" s="72"/>
      <c r="AW560" s="165">
        <f t="shared" si="68"/>
        <v>0</v>
      </c>
      <c r="AX560" s="72"/>
    </row>
    <row r="561" spans="1:50" ht="23.25" hidden="1">
      <c r="A561" s="18"/>
      <c r="B561" s="19">
        <v>-20</v>
      </c>
      <c r="C561" s="59"/>
      <c r="D561" s="54"/>
      <c r="E561" s="54"/>
      <c r="F561" s="54"/>
      <c r="G561" s="54"/>
      <c r="H561" s="54"/>
      <c r="I561" s="54"/>
      <c r="J561" s="54"/>
      <c r="K561" s="54"/>
      <c r="L561" s="14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6"/>
      <c r="AN561" s="16"/>
      <c r="AO561" s="16">
        <f t="shared" si="66"/>
        <v>0</v>
      </c>
      <c r="AP561" s="128"/>
      <c r="AQ561" s="15"/>
      <c r="AR561" s="15"/>
      <c r="AS561" s="15">
        <f t="shared" si="67"/>
        <v>0</v>
      </c>
      <c r="AT561" s="15"/>
      <c r="AU561" s="72"/>
      <c r="AV561" s="72"/>
      <c r="AW561" s="165">
        <f t="shared" si="68"/>
        <v>0</v>
      </c>
      <c r="AX561" s="72"/>
    </row>
    <row r="562" spans="1:50" ht="23.25" hidden="1">
      <c r="A562" s="18"/>
      <c r="B562" s="19">
        <v>-21</v>
      </c>
      <c r="C562" s="59"/>
      <c r="D562" s="54"/>
      <c r="E562" s="54"/>
      <c r="F562" s="54"/>
      <c r="G562" s="54"/>
      <c r="H562" s="54"/>
      <c r="I562" s="54"/>
      <c r="J562" s="54"/>
      <c r="K562" s="54"/>
      <c r="L562" s="14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6"/>
      <c r="AN562" s="16"/>
      <c r="AO562" s="16">
        <f t="shared" si="66"/>
        <v>0</v>
      </c>
      <c r="AP562" s="128"/>
      <c r="AQ562" s="15"/>
      <c r="AR562" s="15"/>
      <c r="AS562" s="15">
        <f t="shared" si="67"/>
        <v>0</v>
      </c>
      <c r="AT562" s="15"/>
      <c r="AU562" s="72"/>
      <c r="AV562" s="72"/>
      <c r="AW562" s="165">
        <f t="shared" si="68"/>
        <v>0</v>
      </c>
      <c r="AX562" s="72"/>
    </row>
    <row r="563" spans="1:50" ht="23.25" hidden="1">
      <c r="A563" s="18"/>
      <c r="B563" s="19">
        <v>-22</v>
      </c>
      <c r="C563" s="59"/>
      <c r="D563" s="54"/>
      <c r="E563" s="54"/>
      <c r="F563" s="54"/>
      <c r="G563" s="54"/>
      <c r="H563" s="54"/>
      <c r="I563" s="54"/>
      <c r="J563" s="54"/>
      <c r="K563" s="54"/>
      <c r="L563" s="14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6"/>
      <c r="AN563" s="16"/>
      <c r="AO563" s="16">
        <f t="shared" si="66"/>
        <v>0</v>
      </c>
      <c r="AP563" s="128"/>
      <c r="AQ563" s="15"/>
      <c r="AR563" s="15"/>
      <c r="AS563" s="15">
        <f t="shared" si="67"/>
        <v>0</v>
      </c>
      <c r="AT563" s="15"/>
      <c r="AU563" s="72"/>
      <c r="AV563" s="72"/>
      <c r="AW563" s="165">
        <f t="shared" si="68"/>
        <v>0</v>
      </c>
      <c r="AX563" s="72"/>
    </row>
    <row r="564" spans="1:50" ht="23.25" hidden="1">
      <c r="A564" s="18"/>
      <c r="B564" s="19">
        <v>-23</v>
      </c>
      <c r="C564" s="59"/>
      <c r="D564" s="54"/>
      <c r="E564" s="54"/>
      <c r="F564" s="54"/>
      <c r="G564" s="54"/>
      <c r="H564" s="54"/>
      <c r="I564" s="54"/>
      <c r="J564" s="54"/>
      <c r="K564" s="54"/>
      <c r="L564" s="14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6"/>
      <c r="AN564" s="16"/>
      <c r="AO564" s="16">
        <f t="shared" si="66"/>
        <v>0</v>
      </c>
      <c r="AP564" s="128"/>
      <c r="AQ564" s="15"/>
      <c r="AR564" s="15"/>
      <c r="AS564" s="15">
        <f t="shared" si="67"/>
        <v>0</v>
      </c>
      <c r="AT564" s="15"/>
      <c r="AU564" s="72"/>
      <c r="AV564" s="72"/>
      <c r="AW564" s="165">
        <f t="shared" si="68"/>
        <v>0</v>
      </c>
      <c r="AX564" s="72"/>
    </row>
    <row r="565" spans="1:50" ht="23.25" hidden="1">
      <c r="A565" s="18"/>
      <c r="B565" s="19">
        <v>-24</v>
      </c>
      <c r="C565" s="59"/>
      <c r="D565" s="54"/>
      <c r="E565" s="54"/>
      <c r="F565" s="54"/>
      <c r="G565" s="54"/>
      <c r="H565" s="54"/>
      <c r="I565" s="54"/>
      <c r="J565" s="54"/>
      <c r="K565" s="54"/>
      <c r="L565" s="14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6"/>
      <c r="AN565" s="16"/>
      <c r="AO565" s="16">
        <f t="shared" si="66"/>
        <v>0</v>
      </c>
      <c r="AP565" s="128"/>
      <c r="AQ565" s="15"/>
      <c r="AR565" s="15"/>
      <c r="AS565" s="15">
        <f t="shared" si="67"/>
        <v>0</v>
      </c>
      <c r="AT565" s="15"/>
      <c r="AU565" s="72"/>
      <c r="AV565" s="72"/>
      <c r="AW565" s="165">
        <f t="shared" si="68"/>
        <v>0</v>
      </c>
      <c r="AX565" s="72"/>
    </row>
    <row r="566" spans="1:50" ht="23.25" hidden="1">
      <c r="A566" s="18"/>
      <c r="B566" s="19"/>
      <c r="C566" s="54"/>
      <c r="D566" s="54"/>
      <c r="E566" s="54"/>
      <c r="F566" s="54"/>
      <c r="G566" s="54"/>
      <c r="H566" s="54"/>
      <c r="I566" s="54"/>
      <c r="J566" s="54"/>
      <c r="K566" s="54"/>
      <c r="L566" s="14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6"/>
      <c r="AN566" s="16"/>
      <c r="AO566" s="16">
        <f t="shared" si="66"/>
        <v>0</v>
      </c>
      <c r="AP566" s="128"/>
      <c r="AQ566" s="15"/>
      <c r="AR566" s="15"/>
      <c r="AS566" s="15">
        <f t="shared" si="67"/>
        <v>0</v>
      </c>
      <c r="AT566" s="15"/>
      <c r="AU566" s="72"/>
      <c r="AV566" s="72"/>
      <c r="AW566" s="165">
        <f t="shared" si="68"/>
        <v>0</v>
      </c>
      <c r="AX566" s="72"/>
    </row>
    <row r="567" spans="1:50" ht="23.25" hidden="1">
      <c r="A567" s="18"/>
      <c r="B567" s="19">
        <v>-25</v>
      </c>
      <c r="C567" s="59"/>
      <c r="D567" s="54"/>
      <c r="E567" s="54"/>
      <c r="F567" s="54"/>
      <c r="G567" s="54"/>
      <c r="H567" s="54"/>
      <c r="I567" s="54"/>
      <c r="J567" s="54"/>
      <c r="K567" s="54"/>
      <c r="L567" s="14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6"/>
      <c r="AN567" s="16"/>
      <c r="AO567" s="16">
        <f t="shared" si="66"/>
        <v>0</v>
      </c>
      <c r="AP567" s="128"/>
      <c r="AQ567" s="15"/>
      <c r="AR567" s="15"/>
      <c r="AS567" s="15">
        <f t="shared" si="67"/>
        <v>0</v>
      </c>
      <c r="AT567" s="15"/>
      <c r="AU567" s="72"/>
      <c r="AV567" s="72"/>
      <c r="AW567" s="165">
        <f t="shared" si="68"/>
        <v>0</v>
      </c>
      <c r="AX567" s="72"/>
    </row>
    <row r="568" spans="1:50" ht="23.25" hidden="1">
      <c r="A568" s="18"/>
      <c r="B568" s="19"/>
      <c r="C568" s="59"/>
      <c r="D568" s="54"/>
      <c r="E568" s="54"/>
      <c r="F568" s="54"/>
      <c r="G568" s="54"/>
      <c r="H568" s="54"/>
      <c r="I568" s="54"/>
      <c r="J568" s="54"/>
      <c r="K568" s="54"/>
      <c r="L568" s="14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6"/>
      <c r="AN568" s="16"/>
      <c r="AO568" s="16">
        <f t="shared" si="66"/>
        <v>0</v>
      </c>
      <c r="AP568" s="128"/>
      <c r="AQ568" s="15"/>
      <c r="AR568" s="15"/>
      <c r="AS568" s="15">
        <f t="shared" si="67"/>
        <v>0</v>
      </c>
      <c r="AT568" s="15"/>
      <c r="AU568" s="72"/>
      <c r="AV568" s="72"/>
      <c r="AW568" s="165">
        <f t="shared" si="68"/>
        <v>0</v>
      </c>
      <c r="AX568" s="72"/>
    </row>
    <row r="569" spans="1:50" ht="23.25" hidden="1">
      <c r="A569" s="18"/>
      <c r="B569" s="19">
        <v>-26</v>
      </c>
      <c r="C569" s="59"/>
      <c r="D569" s="54"/>
      <c r="E569" s="54"/>
      <c r="F569" s="54"/>
      <c r="G569" s="54"/>
      <c r="H569" s="54"/>
      <c r="I569" s="54"/>
      <c r="J569" s="54"/>
      <c r="K569" s="54"/>
      <c r="L569" s="14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6"/>
      <c r="AN569" s="16"/>
      <c r="AO569" s="16">
        <f t="shared" si="66"/>
        <v>0</v>
      </c>
      <c r="AP569" s="128"/>
      <c r="AQ569" s="15"/>
      <c r="AR569" s="15"/>
      <c r="AS569" s="15">
        <f t="shared" si="67"/>
        <v>0</v>
      </c>
      <c r="AT569" s="15"/>
      <c r="AU569" s="72"/>
      <c r="AV569" s="72"/>
      <c r="AW569" s="165">
        <f t="shared" si="68"/>
        <v>0</v>
      </c>
      <c r="AX569" s="72"/>
    </row>
    <row r="570" spans="1:50" ht="23.25" hidden="1">
      <c r="A570" s="18"/>
      <c r="B570" s="19">
        <v>-27</v>
      </c>
      <c r="C570" s="59"/>
      <c r="D570" s="54"/>
      <c r="E570" s="54"/>
      <c r="F570" s="54"/>
      <c r="G570" s="54"/>
      <c r="H570" s="54"/>
      <c r="I570" s="54"/>
      <c r="J570" s="54"/>
      <c r="K570" s="54"/>
      <c r="L570" s="14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6"/>
      <c r="AN570" s="16"/>
      <c r="AO570" s="16">
        <f t="shared" si="66"/>
        <v>0</v>
      </c>
      <c r="AP570" s="128"/>
      <c r="AQ570" s="15"/>
      <c r="AR570" s="15"/>
      <c r="AS570" s="15">
        <f t="shared" si="67"/>
        <v>0</v>
      </c>
      <c r="AT570" s="15"/>
      <c r="AU570" s="72"/>
      <c r="AV570" s="72"/>
      <c r="AW570" s="165">
        <f t="shared" si="68"/>
        <v>0</v>
      </c>
      <c r="AX570" s="72"/>
    </row>
    <row r="571" spans="1:50" ht="23.25" hidden="1">
      <c r="A571" s="18"/>
      <c r="B571" s="19">
        <v>-28</v>
      </c>
      <c r="C571" s="59"/>
      <c r="D571" s="54"/>
      <c r="E571" s="54"/>
      <c r="F571" s="54"/>
      <c r="G571" s="54"/>
      <c r="H571" s="54"/>
      <c r="I571" s="54"/>
      <c r="J571" s="54"/>
      <c r="K571" s="54"/>
      <c r="L571" s="14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6"/>
      <c r="AN571" s="16"/>
      <c r="AO571" s="16">
        <f t="shared" si="66"/>
        <v>0</v>
      </c>
      <c r="AP571" s="128"/>
      <c r="AQ571" s="15"/>
      <c r="AR571" s="15"/>
      <c r="AS571" s="15">
        <f t="shared" si="67"/>
        <v>0</v>
      </c>
      <c r="AT571" s="15"/>
      <c r="AU571" s="72"/>
      <c r="AV571" s="72"/>
      <c r="AW571" s="165">
        <f t="shared" si="68"/>
        <v>0</v>
      </c>
      <c r="AX571" s="72"/>
    </row>
    <row r="572" spans="1:50" ht="23.25" hidden="1">
      <c r="A572" s="18"/>
      <c r="B572" s="19">
        <v>-29</v>
      </c>
      <c r="C572" s="59"/>
      <c r="D572" s="54"/>
      <c r="E572" s="54"/>
      <c r="F572" s="54"/>
      <c r="G572" s="54"/>
      <c r="H572" s="54"/>
      <c r="I572" s="54"/>
      <c r="J572" s="54"/>
      <c r="K572" s="54"/>
      <c r="L572" s="14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6"/>
      <c r="AN572" s="16"/>
      <c r="AO572" s="16">
        <f t="shared" si="66"/>
        <v>0</v>
      </c>
      <c r="AP572" s="128"/>
      <c r="AQ572" s="15"/>
      <c r="AR572" s="15"/>
      <c r="AS572" s="15">
        <f t="shared" si="67"/>
        <v>0</v>
      </c>
      <c r="AT572" s="15"/>
      <c r="AU572" s="72"/>
      <c r="AV572" s="72"/>
      <c r="AW572" s="165">
        <f t="shared" si="68"/>
        <v>0</v>
      </c>
      <c r="AX572" s="72"/>
    </row>
    <row r="573" spans="1:50" ht="23.25" hidden="1">
      <c r="A573" s="18"/>
      <c r="B573" s="19">
        <v>-30</v>
      </c>
      <c r="C573" s="59"/>
      <c r="D573" s="54"/>
      <c r="E573" s="54"/>
      <c r="F573" s="54"/>
      <c r="G573" s="54"/>
      <c r="H573" s="54"/>
      <c r="I573" s="54"/>
      <c r="J573" s="54"/>
      <c r="K573" s="54"/>
      <c r="L573" s="14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6"/>
      <c r="AN573" s="16"/>
      <c r="AO573" s="16">
        <f t="shared" si="66"/>
        <v>0</v>
      </c>
      <c r="AP573" s="128"/>
      <c r="AQ573" s="15"/>
      <c r="AR573" s="15"/>
      <c r="AS573" s="15">
        <f t="shared" si="67"/>
        <v>0</v>
      </c>
      <c r="AT573" s="15"/>
      <c r="AU573" s="72"/>
      <c r="AV573" s="72"/>
      <c r="AW573" s="165">
        <f t="shared" si="68"/>
        <v>0</v>
      </c>
      <c r="AX573" s="72"/>
    </row>
    <row r="574" spans="1:50" ht="23.25" hidden="1">
      <c r="A574" s="18"/>
      <c r="B574" s="19"/>
      <c r="C574" s="59"/>
      <c r="D574" s="54"/>
      <c r="E574" s="54"/>
      <c r="F574" s="54"/>
      <c r="G574" s="54"/>
      <c r="H574" s="54"/>
      <c r="I574" s="54"/>
      <c r="J574" s="54"/>
      <c r="K574" s="54"/>
      <c r="L574" s="14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6"/>
      <c r="AN574" s="16"/>
      <c r="AO574" s="16">
        <f t="shared" si="66"/>
        <v>0</v>
      </c>
      <c r="AP574" s="128"/>
      <c r="AQ574" s="15"/>
      <c r="AR574" s="15"/>
      <c r="AS574" s="15">
        <f t="shared" si="67"/>
        <v>0</v>
      </c>
      <c r="AT574" s="15"/>
      <c r="AU574" s="72"/>
      <c r="AV574" s="72"/>
      <c r="AW574" s="165">
        <f t="shared" si="68"/>
        <v>0</v>
      </c>
      <c r="AX574" s="72"/>
    </row>
    <row r="575" spans="1:50" ht="23.25" hidden="1">
      <c r="A575" s="18" t="s">
        <v>12</v>
      </c>
      <c r="B575" s="19"/>
      <c r="C575" s="54"/>
      <c r="D575" s="54"/>
      <c r="E575" s="54"/>
      <c r="F575" s="54"/>
      <c r="G575" s="54"/>
      <c r="H575" s="54"/>
      <c r="I575" s="54"/>
      <c r="J575" s="54"/>
      <c r="K575" s="54"/>
      <c r="L575" s="14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6"/>
      <c r="AN575" s="16"/>
      <c r="AO575" s="16">
        <f t="shared" si="66"/>
        <v>0</v>
      </c>
      <c r="AP575" s="128"/>
      <c r="AQ575" s="15"/>
      <c r="AR575" s="15"/>
      <c r="AS575" s="15">
        <f t="shared" si="67"/>
        <v>0</v>
      </c>
      <c r="AT575" s="15"/>
      <c r="AU575" s="72"/>
      <c r="AV575" s="72"/>
      <c r="AW575" s="165">
        <f t="shared" si="68"/>
        <v>0</v>
      </c>
      <c r="AX575" s="72"/>
    </row>
    <row r="576" spans="1:50" ht="23.25" hidden="1">
      <c r="A576" s="18"/>
      <c r="B576" s="19">
        <v>-1</v>
      </c>
      <c r="C576" s="59"/>
      <c r="D576" s="54"/>
      <c r="E576" s="54"/>
      <c r="F576" s="54"/>
      <c r="G576" s="54"/>
      <c r="H576" s="54"/>
      <c r="I576" s="54"/>
      <c r="J576" s="54"/>
      <c r="K576" s="54"/>
      <c r="L576" s="14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6"/>
      <c r="AN576" s="16"/>
      <c r="AO576" s="16">
        <f aca="true" t="shared" si="69" ref="AO576:AO585">M576+AM576-AN576</f>
        <v>0</v>
      </c>
      <c r="AP576" s="128"/>
      <c r="AQ576" s="15"/>
      <c r="AR576" s="15"/>
      <c r="AS576" s="15">
        <f t="shared" si="67"/>
        <v>0</v>
      </c>
      <c r="AT576" s="15"/>
      <c r="AU576" s="72"/>
      <c r="AV576" s="72"/>
      <c r="AW576" s="165">
        <f t="shared" si="68"/>
        <v>0</v>
      </c>
      <c r="AX576" s="72"/>
    </row>
    <row r="577" spans="1:50" ht="23.25" hidden="1">
      <c r="A577" s="18"/>
      <c r="B577" s="19">
        <v>-2</v>
      </c>
      <c r="C577" s="59"/>
      <c r="D577" s="54"/>
      <c r="E577" s="54"/>
      <c r="F577" s="54"/>
      <c r="G577" s="54"/>
      <c r="H577" s="54"/>
      <c r="I577" s="54"/>
      <c r="J577" s="54"/>
      <c r="K577" s="54"/>
      <c r="L577" s="14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6"/>
      <c r="AN577" s="16"/>
      <c r="AO577" s="16">
        <f t="shared" si="69"/>
        <v>0</v>
      </c>
      <c r="AP577" s="128"/>
      <c r="AQ577" s="15"/>
      <c r="AR577" s="15"/>
      <c r="AS577" s="15">
        <f t="shared" si="67"/>
        <v>0</v>
      </c>
      <c r="AT577" s="15"/>
      <c r="AU577" s="72"/>
      <c r="AV577" s="72"/>
      <c r="AW577" s="165">
        <f t="shared" si="68"/>
        <v>0</v>
      </c>
      <c r="AX577" s="72"/>
    </row>
    <row r="578" spans="1:50" ht="23.25" hidden="1">
      <c r="A578" s="18"/>
      <c r="B578" s="19">
        <v>-3</v>
      </c>
      <c r="C578" s="59"/>
      <c r="D578" s="54"/>
      <c r="E578" s="54"/>
      <c r="F578" s="54"/>
      <c r="G578" s="54"/>
      <c r="H578" s="54"/>
      <c r="I578" s="54"/>
      <c r="J578" s="54"/>
      <c r="K578" s="54"/>
      <c r="L578" s="14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6"/>
      <c r="AN578" s="16"/>
      <c r="AO578" s="16">
        <f t="shared" si="69"/>
        <v>0</v>
      </c>
      <c r="AP578" s="128"/>
      <c r="AQ578" s="15"/>
      <c r="AR578" s="15"/>
      <c r="AS578" s="15">
        <f t="shared" si="67"/>
        <v>0</v>
      </c>
      <c r="AT578" s="15"/>
      <c r="AU578" s="72"/>
      <c r="AV578" s="72"/>
      <c r="AW578" s="165">
        <f t="shared" si="68"/>
        <v>0</v>
      </c>
      <c r="AX578" s="72"/>
    </row>
    <row r="579" spans="1:50" ht="23.25" hidden="1">
      <c r="A579" s="18"/>
      <c r="B579" s="19"/>
      <c r="C579" s="59"/>
      <c r="D579" s="54"/>
      <c r="E579" s="54"/>
      <c r="F579" s="54"/>
      <c r="G579" s="54"/>
      <c r="H579" s="54"/>
      <c r="I579" s="54"/>
      <c r="J579" s="54"/>
      <c r="K579" s="54"/>
      <c r="L579" s="14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6"/>
      <c r="AN579" s="16"/>
      <c r="AO579" s="16">
        <f t="shared" si="69"/>
        <v>0</v>
      </c>
      <c r="AP579" s="128"/>
      <c r="AQ579" s="15"/>
      <c r="AR579" s="15"/>
      <c r="AS579" s="15">
        <f t="shared" si="67"/>
        <v>0</v>
      </c>
      <c r="AT579" s="15"/>
      <c r="AU579" s="72"/>
      <c r="AV579" s="72"/>
      <c r="AW579" s="165">
        <f t="shared" si="68"/>
        <v>0</v>
      </c>
      <c r="AX579" s="72"/>
    </row>
    <row r="580" spans="1:50" ht="23.25" hidden="1">
      <c r="A580" s="18"/>
      <c r="B580" s="19">
        <v>-4</v>
      </c>
      <c r="C580" s="59"/>
      <c r="D580" s="54"/>
      <c r="E580" s="54"/>
      <c r="F580" s="54"/>
      <c r="G580" s="54"/>
      <c r="H580" s="54"/>
      <c r="I580" s="54"/>
      <c r="J580" s="54"/>
      <c r="K580" s="54"/>
      <c r="L580" s="14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6"/>
      <c r="AN580" s="16"/>
      <c r="AO580" s="16">
        <f t="shared" si="69"/>
        <v>0</v>
      </c>
      <c r="AP580" s="128"/>
      <c r="AQ580" s="15"/>
      <c r="AR580" s="15"/>
      <c r="AS580" s="15">
        <f>AO580-AR580</f>
        <v>0</v>
      </c>
      <c r="AT580" s="15"/>
      <c r="AU580" s="72"/>
      <c r="AV580" s="72"/>
      <c r="AW580" s="165">
        <f t="shared" si="68"/>
        <v>0</v>
      </c>
      <c r="AX580" s="72"/>
    </row>
    <row r="581" spans="1:50" ht="23.25" hidden="1">
      <c r="A581" s="18"/>
      <c r="B581" s="19">
        <v>-5</v>
      </c>
      <c r="C581" s="59"/>
      <c r="D581" s="54"/>
      <c r="E581" s="54"/>
      <c r="F581" s="54"/>
      <c r="G581" s="54"/>
      <c r="H581" s="54"/>
      <c r="I581" s="54"/>
      <c r="J581" s="54"/>
      <c r="K581" s="54"/>
      <c r="L581" s="14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6"/>
      <c r="AN581" s="16"/>
      <c r="AO581" s="16">
        <f t="shared" si="69"/>
        <v>0</v>
      </c>
      <c r="AP581" s="128"/>
      <c r="AQ581" s="15"/>
      <c r="AR581" s="15"/>
      <c r="AS581" s="15">
        <f>AO581-AR581</f>
        <v>0</v>
      </c>
      <c r="AT581" s="15"/>
      <c r="AU581" s="72"/>
      <c r="AV581" s="72"/>
      <c r="AW581" s="165">
        <f t="shared" si="68"/>
        <v>0</v>
      </c>
      <c r="AX581" s="72"/>
    </row>
    <row r="582" spans="1:50" ht="23.25" hidden="1">
      <c r="A582" s="18"/>
      <c r="B582" s="19">
        <v>-6</v>
      </c>
      <c r="C582" s="59"/>
      <c r="D582" s="54"/>
      <c r="E582" s="54"/>
      <c r="F582" s="54"/>
      <c r="G582" s="54"/>
      <c r="H582" s="54"/>
      <c r="I582" s="54"/>
      <c r="J582" s="54"/>
      <c r="K582" s="54"/>
      <c r="L582" s="14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6"/>
      <c r="AN582" s="16"/>
      <c r="AO582" s="16">
        <f t="shared" si="69"/>
        <v>0</v>
      </c>
      <c r="AP582" s="128"/>
      <c r="AQ582" s="15"/>
      <c r="AR582" s="15"/>
      <c r="AS582" s="15">
        <f>AO582-AR582</f>
        <v>0</v>
      </c>
      <c r="AT582" s="15"/>
      <c r="AU582" s="72"/>
      <c r="AV582" s="72"/>
      <c r="AW582" s="165">
        <f t="shared" si="68"/>
        <v>0</v>
      </c>
      <c r="AX582" s="72"/>
    </row>
    <row r="583" spans="1:50" ht="23.25" hidden="1">
      <c r="A583" s="18"/>
      <c r="B583" s="19">
        <v>-7</v>
      </c>
      <c r="C583" s="59"/>
      <c r="D583" s="54"/>
      <c r="E583" s="54"/>
      <c r="F583" s="54"/>
      <c r="G583" s="54"/>
      <c r="H583" s="54"/>
      <c r="I583" s="54"/>
      <c r="J583" s="54"/>
      <c r="K583" s="54"/>
      <c r="L583" s="14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6"/>
      <c r="AN583" s="16"/>
      <c r="AO583" s="16">
        <f t="shared" si="69"/>
        <v>0</v>
      </c>
      <c r="AP583" s="128"/>
      <c r="AQ583" s="15"/>
      <c r="AR583" s="15"/>
      <c r="AS583" s="15">
        <f>AO583-AR583</f>
        <v>0</v>
      </c>
      <c r="AT583" s="15"/>
      <c r="AU583" s="72"/>
      <c r="AV583" s="72"/>
      <c r="AW583" s="165">
        <f t="shared" si="68"/>
        <v>0</v>
      </c>
      <c r="AX583" s="72"/>
    </row>
    <row r="584" spans="1:50" ht="23.25" hidden="1">
      <c r="A584" s="18"/>
      <c r="B584" s="19">
        <v>-8</v>
      </c>
      <c r="C584" s="59"/>
      <c r="D584" s="54"/>
      <c r="E584" s="54"/>
      <c r="F584" s="54"/>
      <c r="G584" s="54"/>
      <c r="H584" s="54"/>
      <c r="I584" s="54"/>
      <c r="J584" s="54"/>
      <c r="K584" s="54"/>
      <c r="L584" s="14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6"/>
      <c r="AN584" s="16"/>
      <c r="AO584" s="16">
        <f t="shared" si="69"/>
        <v>0</v>
      </c>
      <c r="AP584" s="128"/>
      <c r="AQ584" s="15"/>
      <c r="AR584" s="15"/>
      <c r="AS584" s="15">
        <f>AO584-AR584</f>
        <v>0</v>
      </c>
      <c r="AT584" s="15"/>
      <c r="AU584" s="72"/>
      <c r="AV584" s="72"/>
      <c r="AW584" s="165">
        <f t="shared" si="68"/>
        <v>0</v>
      </c>
      <c r="AX584" s="72"/>
    </row>
    <row r="585" spans="1:50" ht="23.25">
      <c r="A585" s="146" t="s">
        <v>282</v>
      </c>
      <c r="B585" s="118"/>
      <c r="C585" s="119"/>
      <c r="D585" s="120"/>
      <c r="E585" s="120"/>
      <c r="F585" s="120"/>
      <c r="G585" s="120"/>
      <c r="H585" s="120"/>
      <c r="I585" s="120"/>
      <c r="J585" s="120"/>
      <c r="K585" s="120"/>
      <c r="L585" s="121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16">
        <v>75000</v>
      </c>
      <c r="AN585" s="16"/>
      <c r="AO585" s="16">
        <f t="shared" si="69"/>
        <v>75000</v>
      </c>
      <c r="AP585" s="128"/>
      <c r="AQ585" s="15"/>
      <c r="AR585" s="15">
        <v>75000</v>
      </c>
      <c r="AS585" s="15">
        <v>20475</v>
      </c>
      <c r="AT585" s="15"/>
      <c r="AU585" s="72">
        <v>34195</v>
      </c>
      <c r="AV585" s="72"/>
      <c r="AW585" s="72">
        <f t="shared" si="68"/>
        <v>54670</v>
      </c>
      <c r="AX585" s="72"/>
    </row>
    <row r="586" spans="1:51" s="39" customFormat="1" ht="25.5" customHeight="1">
      <c r="A586" s="214" t="s">
        <v>273</v>
      </c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71"/>
      <c r="M586" s="80">
        <f aca="true" t="shared" si="70" ref="M586:AL586">SUM(M425:M585)</f>
        <v>12458982.31</v>
      </c>
      <c r="N586" s="74">
        <f t="shared" si="70"/>
        <v>0</v>
      </c>
      <c r="O586" s="74">
        <f t="shared" si="70"/>
        <v>294201.02</v>
      </c>
      <c r="P586" s="74">
        <f t="shared" si="70"/>
        <v>0</v>
      </c>
      <c r="Q586" s="74">
        <f t="shared" si="70"/>
        <v>906937.31</v>
      </c>
      <c r="R586" s="74">
        <f t="shared" si="70"/>
        <v>0</v>
      </c>
      <c r="S586" s="74">
        <f t="shared" si="70"/>
        <v>1137139.41</v>
      </c>
      <c r="T586" s="74">
        <f t="shared" si="70"/>
        <v>0</v>
      </c>
      <c r="U586" s="74">
        <f t="shared" si="70"/>
        <v>1870296.92</v>
      </c>
      <c r="V586" s="74">
        <f t="shared" si="70"/>
        <v>0</v>
      </c>
      <c r="W586" s="74">
        <f t="shared" si="70"/>
        <v>1354898.71</v>
      </c>
      <c r="X586" s="74">
        <f t="shared" si="70"/>
        <v>0</v>
      </c>
      <c r="Y586" s="74">
        <f t="shared" si="70"/>
        <v>1148694.1</v>
      </c>
      <c r="Z586" s="74">
        <f t="shared" si="70"/>
        <v>0</v>
      </c>
      <c r="AA586" s="74">
        <f t="shared" si="70"/>
        <v>1014840.8200000001</v>
      </c>
      <c r="AB586" s="74">
        <f t="shared" si="70"/>
        <v>0</v>
      </c>
      <c r="AC586" s="74">
        <f t="shared" si="70"/>
        <v>4541390.2</v>
      </c>
      <c r="AD586" s="74">
        <f t="shared" si="70"/>
        <v>0</v>
      </c>
      <c r="AE586" s="74">
        <f t="shared" si="70"/>
        <v>1515017.32</v>
      </c>
      <c r="AF586" s="74">
        <f t="shared" si="70"/>
        <v>0</v>
      </c>
      <c r="AG586" s="74">
        <f t="shared" si="70"/>
        <v>1202950.29</v>
      </c>
      <c r="AH586" s="74">
        <f t="shared" si="70"/>
        <v>0</v>
      </c>
      <c r="AI586" s="74">
        <f t="shared" si="70"/>
        <v>3743031.87</v>
      </c>
      <c r="AJ586" s="74">
        <f t="shared" si="70"/>
        <v>0</v>
      </c>
      <c r="AK586" s="74">
        <f t="shared" si="70"/>
        <v>9600691.99</v>
      </c>
      <c r="AL586" s="74">
        <f t="shared" si="70"/>
        <v>8000</v>
      </c>
      <c r="AM586" s="75">
        <f>SUM(AM426:AM585)</f>
        <v>2135945.7</v>
      </c>
      <c r="AN586" s="75">
        <f>SUM(AN425:AN585)</f>
        <v>0</v>
      </c>
      <c r="AO586" s="75">
        <f>SUM(AO425:AO585)</f>
        <v>14594928.01</v>
      </c>
      <c r="AP586" s="127">
        <f>SUM(AP425:AP585)</f>
        <v>0</v>
      </c>
      <c r="AQ586" s="135">
        <f>SUM(AQ425:AQ585)</f>
        <v>0</v>
      </c>
      <c r="AR586" s="135">
        <f>SUM(AR425:AR585)</f>
        <v>14594928.01</v>
      </c>
      <c r="AS586" s="135">
        <f>SUM(AS430:AS585)</f>
        <v>3838264.86</v>
      </c>
      <c r="AT586" s="135"/>
      <c r="AU586" s="135">
        <f>SUM(AU430:AU585)</f>
        <v>1523393.3000000003</v>
      </c>
      <c r="AV586" s="135">
        <f>SUM(AV430:AV585)</f>
        <v>99213</v>
      </c>
      <c r="AW586" s="135">
        <f>SUM(AW425:AW585)</f>
        <v>5262445.16</v>
      </c>
      <c r="AX586" s="142"/>
      <c r="AY586" s="186"/>
    </row>
    <row r="587" spans="1:51" s="39" customFormat="1" ht="27.75" customHeight="1" thickBot="1">
      <c r="A587" s="204" t="s">
        <v>20</v>
      </c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40"/>
      <c r="M587" s="76">
        <f aca="true" t="shared" si="71" ref="M587:AL587">M586+M424</f>
        <v>34239033.88</v>
      </c>
      <c r="N587" s="76">
        <f t="shared" si="71"/>
        <v>41034719.629999995</v>
      </c>
      <c r="O587" s="76">
        <f t="shared" si="71"/>
        <v>4965493.970000001</v>
      </c>
      <c r="P587" s="76">
        <f t="shared" si="71"/>
        <v>5400476.7</v>
      </c>
      <c r="Q587" s="76">
        <f t="shared" si="71"/>
        <v>4045137.33</v>
      </c>
      <c r="R587" s="76">
        <f t="shared" si="71"/>
        <v>4449326.74</v>
      </c>
      <c r="S587" s="76">
        <f t="shared" si="71"/>
        <v>12276856.44</v>
      </c>
      <c r="T587" s="76">
        <f t="shared" si="71"/>
        <v>12186882.82</v>
      </c>
      <c r="U587" s="76">
        <f t="shared" si="71"/>
        <v>8873506.21</v>
      </c>
      <c r="V587" s="76">
        <f t="shared" si="71"/>
        <v>9112295.46</v>
      </c>
      <c r="W587" s="76">
        <f t="shared" si="71"/>
        <v>29938849.53</v>
      </c>
      <c r="X587" s="76">
        <f t="shared" si="71"/>
        <v>29573049</v>
      </c>
      <c r="Y587" s="76">
        <f t="shared" si="71"/>
        <v>41292910.71</v>
      </c>
      <c r="Z587" s="76">
        <f t="shared" si="71"/>
        <v>41972572.35</v>
      </c>
      <c r="AA587" s="76">
        <f t="shared" si="71"/>
        <v>4681403.84</v>
      </c>
      <c r="AB587" s="76">
        <f t="shared" si="71"/>
        <v>4997246.26</v>
      </c>
      <c r="AC587" s="76">
        <f t="shared" si="71"/>
        <v>17319668.12</v>
      </c>
      <c r="AD587" s="76">
        <f t="shared" si="71"/>
        <v>17547221</v>
      </c>
      <c r="AE587" s="76">
        <f t="shared" si="71"/>
        <v>18918098.69</v>
      </c>
      <c r="AF587" s="76">
        <f t="shared" si="71"/>
        <v>18597720.41</v>
      </c>
      <c r="AG587" s="76">
        <f t="shared" si="71"/>
        <v>7120663.62</v>
      </c>
      <c r="AH587" s="76">
        <f t="shared" si="71"/>
        <v>8272124.800000001</v>
      </c>
      <c r="AI587" s="76">
        <f t="shared" si="71"/>
        <v>13083444.239999998</v>
      </c>
      <c r="AJ587" s="76">
        <f t="shared" si="71"/>
        <v>12161533.65</v>
      </c>
      <c r="AK587" s="76">
        <f t="shared" si="71"/>
        <v>73381680.5</v>
      </c>
      <c r="AL587" s="76">
        <f t="shared" si="71"/>
        <v>74928781.28</v>
      </c>
      <c r="AM587" s="77">
        <f>AM586+AM422+AM247+AM121</f>
        <v>9463910.030000001</v>
      </c>
      <c r="AN587" s="77">
        <f>AN586+AN422+AN247+AN121</f>
        <v>9363443.03</v>
      </c>
      <c r="AO587" s="77">
        <f>AO586+AO424</f>
        <v>35390623.690000005</v>
      </c>
      <c r="AP587" s="130">
        <f>AP586+AP424</f>
        <v>42085842.44</v>
      </c>
      <c r="AQ587" s="77">
        <f>AQ586+AQ424</f>
        <v>21428534.909999996</v>
      </c>
      <c r="AR587" s="77">
        <f>AR586+AR422+AR247+AR121</f>
        <v>14733316.16</v>
      </c>
      <c r="AS587" s="77">
        <f aca="true" t="shared" si="72" ref="AS587:AX587">AS586+AS424</f>
        <v>27096055.05</v>
      </c>
      <c r="AT587" s="77">
        <f t="shared" si="72"/>
        <v>27096055.05</v>
      </c>
      <c r="AU587" s="77">
        <f t="shared" si="72"/>
        <v>3289736.9400000004</v>
      </c>
      <c r="AV587" s="77">
        <f t="shared" si="72"/>
        <v>3289736.9400000004</v>
      </c>
      <c r="AW587" s="77">
        <f t="shared" si="72"/>
        <v>27264648.28</v>
      </c>
      <c r="AX587" s="190">
        <f t="shared" si="72"/>
        <v>27264648.28</v>
      </c>
      <c r="AY587" s="186"/>
    </row>
    <row r="588" spans="13:49" ht="24" thickTop="1"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102"/>
      <c r="AP588" s="102"/>
      <c r="AQ588" s="102"/>
      <c r="AR588" s="102"/>
      <c r="AS588" s="102">
        <f>+AT587-AS587</f>
        <v>0</v>
      </c>
      <c r="AT588" s="102"/>
      <c r="AV588" s="102">
        <f>+AV587-AU587</f>
        <v>0</v>
      </c>
      <c r="AW588" s="44">
        <f>+AW587-AX587</f>
        <v>0</v>
      </c>
    </row>
    <row r="589" spans="14:42" ht="23.25">
      <c r="N589" s="44">
        <f>M587-N587</f>
        <v>-6795685.749999993</v>
      </c>
      <c r="O589" s="44"/>
      <c r="P589" s="44">
        <f>O587-P587</f>
        <v>-434982.7299999995</v>
      </c>
      <c r="Q589" s="44"/>
      <c r="R589" s="44">
        <f>Q587-R587</f>
        <v>-404189.41000000015</v>
      </c>
      <c r="S589" s="44"/>
      <c r="T589" s="44">
        <f>S587-T587</f>
        <v>89973.61999999918</v>
      </c>
      <c r="U589" s="44"/>
      <c r="V589" s="44">
        <f>U587-V587</f>
        <v>-238789.25</v>
      </c>
      <c r="W589" s="44"/>
      <c r="X589" s="44">
        <f>W587-X587</f>
        <v>365800.5300000012</v>
      </c>
      <c r="Y589" s="44"/>
      <c r="Z589" s="44">
        <f>Y587-Z587</f>
        <v>-679661.6400000006</v>
      </c>
      <c r="AA589" s="44"/>
      <c r="AB589" s="44">
        <f>AA587-AB587</f>
        <v>-315842.4199999999</v>
      </c>
      <c r="AC589" s="44"/>
      <c r="AD589" s="44">
        <f>AC587-AD587</f>
        <v>-227552.87999999896</v>
      </c>
      <c r="AE589" s="44"/>
      <c r="AF589" s="44">
        <f>AE587-AF587</f>
        <v>320378.2800000012</v>
      </c>
      <c r="AG589" s="44"/>
      <c r="AH589" s="44">
        <f>AG587-AH587</f>
        <v>-1151461.1800000006</v>
      </c>
      <c r="AI589" s="44"/>
      <c r="AJ589" s="44">
        <f>AI587-AJ587</f>
        <v>921910.589999998</v>
      </c>
      <c r="AK589" s="44"/>
      <c r="AL589" s="44">
        <f>AK587-AL587</f>
        <v>-1547100.7800000012</v>
      </c>
      <c r="AM589" s="44"/>
      <c r="AN589" s="102">
        <f>AM587-AN587</f>
        <v>100467.00000000186</v>
      </c>
      <c r="AP589" s="44">
        <f>AO587-AP587</f>
        <v>-6695218.749999993</v>
      </c>
    </row>
    <row r="592" ht="23.25">
      <c r="AP592" s="44">
        <f>AP591*25/100</f>
        <v>0</v>
      </c>
    </row>
    <row r="595" ht="23.25">
      <c r="AN595" s="45">
        <f>SUM(AN365:AN365)</f>
        <v>0</v>
      </c>
    </row>
  </sheetData>
  <mergeCells count="57">
    <mergeCell ref="AA5:AB5"/>
    <mergeCell ref="S5:T5"/>
    <mergeCell ref="AQ6:AR6"/>
    <mergeCell ref="AS5:AT5"/>
    <mergeCell ref="AS6:AT6"/>
    <mergeCell ref="U5:V5"/>
    <mergeCell ref="W5:X5"/>
    <mergeCell ref="Y5:Z5"/>
    <mergeCell ref="AQ5:AR5"/>
    <mergeCell ref="AM5:AN5"/>
    <mergeCell ref="AO5:AP5"/>
    <mergeCell ref="Y6:Z6"/>
    <mergeCell ref="AA6:AB6"/>
    <mergeCell ref="AC6:AD6"/>
    <mergeCell ref="AE6:AF6"/>
    <mergeCell ref="AM6:AN6"/>
    <mergeCell ref="AO6:AP6"/>
    <mergeCell ref="AC5:AD5"/>
    <mergeCell ref="AE5:AF5"/>
    <mergeCell ref="AG5:AH5"/>
    <mergeCell ref="AG6:AH6"/>
    <mergeCell ref="A123:K123"/>
    <mergeCell ref="AI6:AJ6"/>
    <mergeCell ref="AK6:AL6"/>
    <mergeCell ref="A6:K6"/>
    <mergeCell ref="M6:N6"/>
    <mergeCell ref="O6:P6"/>
    <mergeCell ref="Q6:R6"/>
    <mergeCell ref="S6:T6"/>
    <mergeCell ref="U6:V6"/>
    <mergeCell ref="W6:X6"/>
    <mergeCell ref="A586:K586"/>
    <mergeCell ref="A587:K587"/>
    <mergeCell ref="A250:K250"/>
    <mergeCell ref="A422:K422"/>
    <mergeCell ref="A423:K423"/>
    <mergeCell ref="A424:K424"/>
    <mergeCell ref="AU6:AV6"/>
    <mergeCell ref="AW6:AX6"/>
    <mergeCell ref="A425:K425"/>
    <mergeCell ref="A124:K124"/>
    <mergeCell ref="A247:K247"/>
    <mergeCell ref="A248:K248"/>
    <mergeCell ref="A249:K249"/>
    <mergeCell ref="A8:K8"/>
    <mergeCell ref="A121:K121"/>
    <mergeCell ref="A122:K122"/>
    <mergeCell ref="A1:AX1"/>
    <mergeCell ref="A2:AX2"/>
    <mergeCell ref="A3:AX3"/>
    <mergeCell ref="AU5:AV5"/>
    <mergeCell ref="AW5:AX5"/>
    <mergeCell ref="AI5:AJ5"/>
    <mergeCell ref="AK5:AL5"/>
    <mergeCell ref="M5:N5"/>
    <mergeCell ref="O5:P5"/>
    <mergeCell ref="Q5:R5"/>
  </mergeCells>
  <printOptions/>
  <pageMargins left="0.15" right="0.15" top="0.28" bottom="0.24" header="0.25" footer="0.8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OWNER</cp:lastModifiedBy>
  <cp:lastPrinted>2010-03-15T05:25:11Z</cp:lastPrinted>
  <dcterms:created xsi:type="dcterms:W3CDTF">2008-11-07T08:20:07Z</dcterms:created>
  <dcterms:modified xsi:type="dcterms:W3CDTF">2010-03-15T05:25:14Z</dcterms:modified>
  <cp:category/>
  <cp:version/>
  <cp:contentType/>
  <cp:contentStatus/>
</cp:coreProperties>
</file>