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<sst xmlns="http://schemas.openxmlformats.org/spreadsheetml/2006/main" count="328" uniqueCount="269">
  <si>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</si>
  <si>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</si>
  <si>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</si>
  <si>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</si>
  <si>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</si>
  <si>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</si>
  <si>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</si>
  <si>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</si>
  <si>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</si>
  <si>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</si>
  <si>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</si>
  <si>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</si>
  <si>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</si>
  <si>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</si>
  <si>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</si>
  <si>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</si>
  <si>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</si>
  <si>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</si>
  <si>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</si>
  <si>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</si>
  <si>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</si>
  <si>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</si>
  <si>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</si>
  <si>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</si>
  <si>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</si>
  <si>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</si>
  <si>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</si>
  <si>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</si>
  <si>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</si>
  <si>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</si>
  <si>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</si>
  <si>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</si>
  <si>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</si>
  <si>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</si>
  <si>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</si>
  <si>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</si>
  <si>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</si>
  <si>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</si>
  <si>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</si>
  <si>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</si>
  <si>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</si>
  <si>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</si>
  <si>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</si>
  <si>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</si>
  <si>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</si>
  <si>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</si>
  <si>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</si>
  <si>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</si>
  <si>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</si>
  <si>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</si>
  <si>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</si>
  <si>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</si>
  <si>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</si>
  <si>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</si>
  <si>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</si>
  <si>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</si>
  <si>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</si>
  <si>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</si>
  <si>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</si>
  <si>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</si>
  <si>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</si>
  <si>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</si>
  <si>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</si>
  <si>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</si>
  <si>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</si>
  <si>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</si>
  <si>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</si>
  <si>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</si>
  <si>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</si>
  <si>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</si>
  <si>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</si>
  <si>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</si>
  <si>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</si>
  <si>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</si>
  <si>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</si>
  <si>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</si>
  <si>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</si>
  <si>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</si>
  <si>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</si>
  <si>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</si>
  <si>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</si>
  <si>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</si>
  <si>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</si>
  <si>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</si>
  <si>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</si>
  <si>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</si>
  <si>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</si>
  <si>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</si>
  <si>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</si>
  <si>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</si>
  <si>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</si>
  <si>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</si>
  <si>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</si>
  <si>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</si>
  <si>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</si>
  <si>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</si>
  <si>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</si>
  <si>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</si>
  <si>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</si>
  <si>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</si>
  <si>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</si>
  <si>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</si>
  <si>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</si>
  <si>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</si>
  <si>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</si>
  <si>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</si>
  <si>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</si>
  <si>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</si>
  <si>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</si>
  <si>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</si>
  <si>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</si>
  <si>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</si>
  <si>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</si>
  <si>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</si>
  <si>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</si>
  <si>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</si>
  <si>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</si>
  <si>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</si>
  <si>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</si>
  <si>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</si>
  <si>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</si>
  <si>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</si>
  <si>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</si>
  <si>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</si>
  <si>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</si>
  <si>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</si>
  <si>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</si>
  <si>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</si>
  <si>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</si>
  <si>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</si>
  <si>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</si>
  <si>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</si>
  <si>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</si>
  <si>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</si>
  <si>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</si>
  <si>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</si>
  <si>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</si>
  <si>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</si>
  <si>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</si>
  <si>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</si>
  <si>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</si>
  <si>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</si>
  <si>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</si>
  <si>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</si>
  <si>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</si>
  <si>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</si>
  <si>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</si>
  <si>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</si>
  <si>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</si>
  <si>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</si>
  <si>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</si>
  <si>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</si>
  <si>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</si>
  <si>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</si>
  <si>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</si>
  <si>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</si>
  <si>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</si>
  <si>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</si>
  <si>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</si>
  <si>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</si>
  <si>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</si>
  <si>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</si>
  <si>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</si>
  <si>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</si>
  <si>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</si>
  <si>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</si>
  <si>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</si>
  <si>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</si>
  <si>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</si>
  <si>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</si>
  <si>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</si>
  <si>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</si>
  <si>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</si>
  <si>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</si>
  <si>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</si>
  <si>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</si>
  <si>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</si>
  <si>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</si>
  <si>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</si>
  <si>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</si>
  <si>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</si>
  <si>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</si>
  <si>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</si>
  <si>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</si>
  <si>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</si>
  <si>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</si>
  <si>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</si>
  <si>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</si>
  <si>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</si>
  <si>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</si>
  <si>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</si>
  <si>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</si>
  <si>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</si>
  <si>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</si>
  <si>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</si>
  <si>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</si>
  <si>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</si>
  <si>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</si>
  <si>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</si>
  <si>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</si>
  <si>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</si>
  <si>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</si>
  <si>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</si>
  <si>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</si>
  <si>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</si>
  <si>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</si>
  <si>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</si>
  <si>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บัญชีค่าจำหน่ายแบบพิมพ์และคำร้อง</t>
  </si>
  <si>
    <t xml:space="preserve">         บัญชีรายได้เบ็ดเตล็ดอื่น ๆ</t>
  </si>
  <si>
    <t xml:space="preserve">    เงินรับฝาก (หมายเหตุ  4)</t>
  </si>
  <si>
    <t>เงินรับฝาก - ประกันสังคม</t>
  </si>
  <si>
    <t>หัก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</si>
  <si>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</si>
  <si>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</si>
  <si>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</si>
  <si>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   โครงการติดตั้งกล้อง cctv จุดเสี่ยงภายในเขตเทศบาลตำบลบางจาก</t>
  </si>
  <si>
    <t xml:space="preserve">         ประกันสังคม</t>
  </si>
  <si>
    <t>รายได้ค้างรับ</t>
  </si>
  <si>
    <t>บัญชีเจ้าหนี้เงินสะสม</t>
  </si>
  <si>
    <t>ปีงบประมาณ  2560</t>
  </si>
  <si>
    <t>งบกลาง</t>
  </si>
  <si>
    <t xml:space="preserve">             ลูกหนี้ภาษี-ภาษีบำรุงท้องที่  ยกมา  ณ  วันที่  31  ตุลาคม  2559</t>
  </si>
  <si>
    <t xml:space="preserve">  หัก   ลูกหนี้ภาษี-ภาษีบำรุงท้องที่ ณ วันที่ 31 ตุลาคม 2559</t>
  </si>
  <si>
    <t xml:space="preserve">           จัดซื้อรถตู้รับ - ส่งนักเรียน</t>
  </si>
  <si>
    <t xml:space="preserve">         ปี 2559</t>
  </si>
  <si>
    <t xml:space="preserve">            โครงการจัดซื้อเครื่องเสียง</t>
  </si>
  <si>
    <t xml:space="preserve">            โครงการก่อสร้างถนนสายครุฑธา</t>
  </si>
  <si>
    <t>เงินรับฝาก - ค่าใช้จ่ายอื่น ๆ</t>
  </si>
  <si>
    <t>(3) รายได้จากทรัพย์สิน อื่น ๆ (ค่าเช่าตู้ ATM)</t>
  </si>
  <si>
    <t>4. เงินอุดหนุน (ศพด.)</t>
  </si>
  <si>
    <t>5. เงินอุดหนุนอาหารกลางวัน</t>
  </si>
  <si>
    <t>6 เงินอุดหนุนส่งเสริมศักยภาพการจัดการศึกษา</t>
  </si>
  <si>
    <t>7. เงินอุดหนุนค่าจัดการเรียนการสอน  (ศพด.)</t>
  </si>
  <si>
    <t>บัญชีเงินสด</t>
  </si>
  <si>
    <t xml:space="preserve">         บัญชีค่าธรรมเนียมทะเบียนราษฎร์</t>
  </si>
  <si>
    <t xml:space="preserve">  หัก   ลูกหนี้ภาษี-ภาษีบำรุงท้องที่ ณ วันที่ 28  กุมภาพันธ์  2560</t>
  </si>
  <si>
    <t>เงินรับฝาก - ประกันสัญญา</t>
  </si>
  <si>
    <t>9. ค่าอุปกรณ์การเรียน</t>
  </si>
  <si>
    <t>10. เงินอุดหนุนเบี้ยยังชีพเอดส์</t>
  </si>
  <si>
    <t xml:space="preserve">  หัก   ลูกหนี้ภาษี-ภาษีบำรุงท้องที่ ณ วันที่  31 มีนาคม  2560</t>
  </si>
  <si>
    <t xml:space="preserve">  หัก   ลูกหนี้ภาษี-ภาษีบำรุงท้องที่ ณ วันที่  30  เมษายน   2560</t>
  </si>
  <si>
    <t>11. ค่าเครื่องแบบนักเรียน</t>
  </si>
  <si>
    <t>12. ค่าหนังสือเรียน</t>
  </si>
  <si>
    <t>8. ค่ากิจกรรมพัฒนาคุณภาพผู้เรียน</t>
  </si>
  <si>
    <t>13. เงินอุดหนุนโครงการถ่ายโอนบุคลากร</t>
  </si>
  <si>
    <t xml:space="preserve">  หัก   ลูกหนี้ภาษี-ภาษีบำรุงท้องที่ ณ วันที่  31  พฤษภาคม   2560</t>
  </si>
  <si>
    <t xml:space="preserve">         บัญชีค่าธรรมเนียมควบคุมอาคาร</t>
  </si>
  <si>
    <t xml:space="preserve">        บัญชีค่าใบอนุญาตเกี่ยวกับการควบคุมอาคาร</t>
  </si>
  <si>
    <t xml:space="preserve">        บัญชีดอกเบี้ย</t>
  </si>
  <si>
    <t xml:space="preserve">         บัญชีภาษีมูลค่าเพิ่ม 1 ใน 9</t>
  </si>
  <si>
    <t xml:space="preserve">         บัญชีภาษีสุรา</t>
  </si>
  <si>
    <t xml:space="preserve">         บัญชีภาษีสรรพสามิต</t>
  </si>
  <si>
    <t xml:space="preserve">         บัญชีค่าภาคหลวงแร่</t>
  </si>
  <si>
    <t xml:space="preserve">         บัญชีค่าภาคหลวงปิโตรเลี่ยม</t>
  </si>
  <si>
    <t xml:space="preserve">         บัญชีค่าธรรมเนียมจดทะเบียนสิทธิและนิติกรรมที่ดิน</t>
  </si>
  <si>
    <t>เงินเดือน (ฝ่ายประจำ)</t>
  </si>
  <si>
    <t>ณ  วันที่  31  กรกฎาคม   2560</t>
  </si>
  <si>
    <t>ณ  วันที่  31  กรกฎาคม  2560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</si>
  <si>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กรกฎาคม   พ.ศ.  2560</t>
    </r>
  </si>
  <si>
    <t>(471,006)</t>
  </si>
  <si>
    <t>เงินรับฝาก - ค่ารักษาพยาบาล</t>
  </si>
  <si>
    <t xml:space="preserve">         บัญชีเงินอุดหนุนทั่วไป - เบี้ยยังชีพคนชรา</t>
  </si>
  <si>
    <t xml:space="preserve">         บัญชีเงินอุดหนุนทั่วไป - คนพิการ</t>
  </si>
  <si>
    <t xml:space="preserve">         บัญชีเงินอุดหนุนทั่วไป - อาหารเสริม (นม)</t>
  </si>
  <si>
    <t xml:space="preserve">         บัญชีเงินอุดหนุนทั่วไป - อาหารกลางวัน</t>
  </si>
  <si>
    <t xml:space="preserve">         บัญชีเงินอุดหนุนทั่วไป - เบี้ยยังชีพผู้ป่วยเอดส์</t>
  </si>
  <si>
    <t xml:space="preserve">         บัญชีเงินอุดหนุนทั่วไประบุวัตถุประสงค์ - ถ่ายโอนบุคลากร</t>
  </si>
  <si>
    <t>ณ  วันที่  31    2560</t>
  </si>
  <si>
    <t>(1,615,903.58)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</si>
</sst>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7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 horizontal="center"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63" xfId="38" applyFont="1" applyFill="1" applyBorder="1" applyAlignment="1">
      <alignment/>
    </xf>
    <xf numFmtId="43" fontId="3" fillId="34" borderId="59" xfId="38" applyFont="1" applyFill="1" applyBorder="1" applyAlignment="1">
      <alignment/>
    </xf>
    <xf numFmtId="43" fontId="3" fillId="34" borderId="59" xfId="38" applyFont="1" applyFill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3" fillId="34" borderId="0" xfId="38" applyFont="1" applyFill="1" applyAlignment="1">
      <alignment/>
    </xf>
    <xf numFmtId="0" fontId="3" fillId="0" borderId="0" xfId="0" applyFont="1" applyAlignment="1">
      <alignment horizontal="center"/>
    </xf>
    <xf numFmtId="43" fontId="1" fillId="0" borderId="23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43" fontId="3" fillId="34" borderId="25" xfId="38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58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7953375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9525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7953375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0">
      <selection activeCell="G40" sqref="G40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2.5" customHeight="1">
      <c r="A1" s="218" t="s">
        <v>99</v>
      </c>
      <c r="B1" s="218"/>
      <c r="C1" s="218"/>
      <c r="D1" s="218"/>
      <c r="E1" s="218"/>
    </row>
    <row r="2" spans="1:5" ht="22.5" customHeight="1">
      <c r="A2" s="218" t="s">
        <v>49</v>
      </c>
      <c r="B2" s="218"/>
      <c r="C2" s="218"/>
      <c r="D2" s="218"/>
      <c r="E2" s="218"/>
    </row>
    <row r="3" spans="1:5" ht="22.5" customHeight="1">
      <c r="A3" s="218" t="s">
        <v>256</v>
      </c>
      <c r="B3" s="218"/>
      <c r="C3" s="218"/>
      <c r="D3" s="218"/>
      <c r="E3" s="218"/>
    </row>
    <row r="4" spans="1:4" ht="27" customHeight="1">
      <c r="A4" s="52" t="s">
        <v>5</v>
      </c>
      <c r="B4" s="52" t="s">
        <v>8</v>
      </c>
      <c r="C4" s="53" t="s">
        <v>6</v>
      </c>
      <c r="D4" s="52" t="s">
        <v>7</v>
      </c>
    </row>
    <row r="5" spans="1:4" ht="21.75" customHeight="1">
      <c r="A5" s="54" t="s">
        <v>53</v>
      </c>
      <c r="B5" s="55"/>
      <c r="C5" s="207"/>
      <c r="D5" s="171"/>
    </row>
    <row r="6" spans="1:4" ht="21.75" customHeight="1">
      <c r="A6" s="56" t="s">
        <v>114</v>
      </c>
      <c r="B6" s="57" t="s">
        <v>50</v>
      </c>
      <c r="C6" s="208">
        <v>2351.9</v>
      </c>
      <c r="D6" s="173"/>
    </row>
    <row r="7" spans="1:4" ht="21.75" customHeight="1">
      <c r="A7" s="56" t="s">
        <v>115</v>
      </c>
      <c r="B7" s="57" t="s">
        <v>50</v>
      </c>
      <c r="C7" s="208">
        <v>979436.05</v>
      </c>
      <c r="D7" s="173"/>
    </row>
    <row r="8" spans="1:4" ht="21.75" customHeight="1">
      <c r="A8" s="56" t="s">
        <v>116</v>
      </c>
      <c r="B8" s="57" t="s">
        <v>50</v>
      </c>
      <c r="C8" s="208">
        <v>118.95</v>
      </c>
      <c r="D8" s="173"/>
    </row>
    <row r="9" spans="1:6" ht="21.75" customHeight="1">
      <c r="A9" s="58" t="s">
        <v>54</v>
      </c>
      <c r="B9" s="57"/>
      <c r="C9" s="208"/>
      <c r="D9" s="173"/>
      <c r="F9" s="20"/>
    </row>
    <row r="10" spans="1:6" ht="21.75" customHeight="1">
      <c r="A10" s="56" t="s">
        <v>117</v>
      </c>
      <c r="B10" s="57" t="s">
        <v>51</v>
      </c>
      <c r="C10" s="208">
        <v>11512689.75</v>
      </c>
      <c r="D10" s="173"/>
      <c r="F10" s="20"/>
    </row>
    <row r="11" spans="1:6" ht="21.75" customHeight="1">
      <c r="A11" s="56" t="s">
        <v>118</v>
      </c>
      <c r="B11" s="57" t="s">
        <v>51</v>
      </c>
      <c r="C11" s="208">
        <v>5647914.54</v>
      </c>
      <c r="D11" s="173"/>
      <c r="F11" s="20"/>
    </row>
    <row r="12" spans="1:6" ht="21.75" customHeight="1">
      <c r="A12" s="56" t="s">
        <v>213</v>
      </c>
      <c r="B12" s="57" t="s">
        <v>51</v>
      </c>
      <c r="C12" s="208">
        <v>1102458.58</v>
      </c>
      <c r="D12" s="173"/>
      <c r="F12" s="20"/>
    </row>
    <row r="13" spans="1:6" ht="21.75" customHeight="1">
      <c r="A13" s="56" t="s">
        <v>100</v>
      </c>
      <c r="B13" s="57">
        <v>701</v>
      </c>
      <c r="C13" s="208">
        <v>4240054.34</v>
      </c>
      <c r="D13" s="173"/>
      <c r="F13" s="20"/>
    </row>
    <row r="14" spans="1:6" ht="21.75" customHeight="1">
      <c r="A14" s="56" t="s">
        <v>107</v>
      </c>
      <c r="B14" s="57">
        <v>702</v>
      </c>
      <c r="C14" s="208">
        <v>5000</v>
      </c>
      <c r="D14" s="173"/>
      <c r="F14" s="20"/>
    </row>
    <row r="15" spans="1:6" ht="21.75" customHeight="1">
      <c r="A15" s="56" t="s">
        <v>102</v>
      </c>
      <c r="B15" s="57">
        <v>703</v>
      </c>
      <c r="C15" s="208">
        <v>19481442</v>
      </c>
      <c r="D15" s="173"/>
      <c r="F15" s="20"/>
    </row>
    <row r="16" spans="1:6" ht="21.75" customHeight="1">
      <c r="A16" s="56" t="s">
        <v>214</v>
      </c>
      <c r="B16" s="57"/>
      <c r="C16" s="208">
        <v>0</v>
      </c>
      <c r="D16" s="173"/>
      <c r="F16" s="20"/>
    </row>
    <row r="17" spans="1:6" ht="21.75" customHeight="1">
      <c r="A17" s="56" t="s">
        <v>233</v>
      </c>
      <c r="B17" s="57"/>
      <c r="C17" s="208">
        <v>486</v>
      </c>
      <c r="D17" s="173"/>
      <c r="F17" s="20"/>
    </row>
    <row r="18" spans="1:6" ht="24" customHeight="1">
      <c r="A18" s="58" t="s">
        <v>55</v>
      </c>
      <c r="B18" s="59"/>
      <c r="C18" s="208"/>
      <c r="D18" s="173"/>
      <c r="F18" s="20"/>
    </row>
    <row r="19" spans="1:6" ht="21.75" customHeight="1">
      <c r="A19" s="56" t="s">
        <v>84</v>
      </c>
      <c r="B19" s="60" t="s">
        <v>81</v>
      </c>
      <c r="C19" s="208">
        <v>4493.34</v>
      </c>
      <c r="D19" s="173"/>
      <c r="F19" s="20"/>
    </row>
    <row r="20" spans="1:6" ht="21.75" customHeight="1">
      <c r="A20" s="56" t="s">
        <v>80</v>
      </c>
      <c r="B20" s="60" t="s">
        <v>52</v>
      </c>
      <c r="C20" s="209">
        <v>46700</v>
      </c>
      <c r="D20" s="173"/>
      <c r="F20" s="20"/>
    </row>
    <row r="21" spans="1:6" ht="21.75" customHeight="1">
      <c r="A21" s="56" t="s">
        <v>104</v>
      </c>
      <c r="B21" s="60" t="s">
        <v>105</v>
      </c>
      <c r="C21" s="209">
        <v>201718</v>
      </c>
      <c r="D21" s="173"/>
      <c r="F21" s="20"/>
    </row>
    <row r="22" spans="1:6" ht="21.75" customHeight="1">
      <c r="A22" s="56" t="s">
        <v>56</v>
      </c>
      <c r="B22" s="60" t="s">
        <v>47</v>
      </c>
      <c r="C22" s="209">
        <v>4201178.65</v>
      </c>
      <c r="D22" s="173"/>
      <c r="F22" s="20"/>
    </row>
    <row r="23" spans="1:6" ht="21.75" customHeight="1">
      <c r="A23" s="56" t="s">
        <v>109</v>
      </c>
      <c r="B23" s="59">
        <v>6000</v>
      </c>
      <c r="C23" s="209">
        <v>6600</v>
      </c>
      <c r="D23" s="173"/>
      <c r="F23" s="20"/>
    </row>
    <row r="24" spans="1:6" ht="21.75" customHeight="1">
      <c r="A24" s="56" t="s">
        <v>108</v>
      </c>
      <c r="B24" s="59">
        <v>100</v>
      </c>
      <c r="C24" s="209">
        <v>7673024</v>
      </c>
      <c r="D24" s="173"/>
      <c r="F24" s="20"/>
    </row>
    <row r="25" spans="1:6" ht="21.75" customHeight="1">
      <c r="A25" s="56" t="s">
        <v>110</v>
      </c>
      <c r="B25" s="59">
        <v>101</v>
      </c>
      <c r="C25" s="209">
        <v>182500</v>
      </c>
      <c r="D25" s="173"/>
      <c r="F25" s="20"/>
    </row>
    <row r="26" spans="1:6" ht="21.75" customHeight="1">
      <c r="A26" s="56" t="s">
        <v>111</v>
      </c>
      <c r="B26" s="59">
        <v>102</v>
      </c>
      <c r="C26" s="209">
        <v>2187200</v>
      </c>
      <c r="D26" s="173"/>
      <c r="F26" s="20"/>
    </row>
    <row r="27" spans="1:6" ht="21.75" customHeight="1">
      <c r="A27" s="56" t="s">
        <v>57</v>
      </c>
      <c r="B27" s="59">
        <v>200</v>
      </c>
      <c r="C27" s="209">
        <v>201650</v>
      </c>
      <c r="D27" s="173"/>
      <c r="F27" s="20"/>
    </row>
    <row r="28" spans="1:6" ht="21.75" customHeight="1">
      <c r="A28" s="56" t="s">
        <v>112</v>
      </c>
      <c r="B28" s="59" t="s">
        <v>113</v>
      </c>
      <c r="C28" s="209">
        <v>15000</v>
      </c>
      <c r="D28" s="173"/>
      <c r="F28" s="20"/>
    </row>
    <row r="29" spans="1:6" ht="21.75" customHeight="1">
      <c r="A29" s="56" t="s">
        <v>58</v>
      </c>
      <c r="B29" s="59">
        <v>250</v>
      </c>
      <c r="C29" s="209">
        <v>3768767.28</v>
      </c>
      <c r="D29" s="173"/>
      <c r="F29" s="20"/>
    </row>
    <row r="30" spans="1:6" ht="21.75" customHeight="1">
      <c r="A30" s="56" t="s">
        <v>59</v>
      </c>
      <c r="B30" s="59">
        <v>270</v>
      </c>
      <c r="C30" s="209">
        <v>869478.92</v>
      </c>
      <c r="D30" s="173"/>
      <c r="F30" s="20"/>
    </row>
    <row r="31" spans="1:6" ht="21" customHeight="1">
      <c r="A31" s="56" t="s">
        <v>36</v>
      </c>
      <c r="B31" s="59">
        <v>6270</v>
      </c>
      <c r="C31" s="209">
        <v>0</v>
      </c>
      <c r="D31" s="173"/>
      <c r="F31" s="20"/>
    </row>
    <row r="32" spans="1:6" ht="21.75" customHeight="1">
      <c r="A32" s="56" t="s">
        <v>37</v>
      </c>
      <c r="B32" s="59">
        <v>300</v>
      </c>
      <c r="C32" s="209">
        <v>330398.81</v>
      </c>
      <c r="D32" s="173"/>
      <c r="F32" s="20"/>
    </row>
    <row r="33" spans="1:6" ht="21.75" customHeight="1">
      <c r="A33" s="56" t="s">
        <v>38</v>
      </c>
      <c r="B33" s="59">
        <v>400</v>
      </c>
      <c r="C33" s="209">
        <v>20000</v>
      </c>
      <c r="D33" s="173"/>
      <c r="F33" s="20"/>
    </row>
    <row r="34" spans="1:6" ht="21.75" customHeight="1">
      <c r="A34" s="56" t="s">
        <v>60</v>
      </c>
      <c r="B34" s="59">
        <v>450</v>
      </c>
      <c r="C34" s="209">
        <v>109497</v>
      </c>
      <c r="D34" s="173"/>
      <c r="F34" s="20"/>
    </row>
    <row r="35" spans="1:6" ht="22.5" customHeight="1">
      <c r="A35" s="56" t="s">
        <v>61</v>
      </c>
      <c r="B35" s="59">
        <v>500</v>
      </c>
      <c r="C35" s="209">
        <v>348000</v>
      </c>
      <c r="D35" s="173"/>
      <c r="F35" s="20"/>
    </row>
    <row r="36" spans="1:6" ht="24" customHeight="1">
      <c r="A36" s="56" t="s">
        <v>83</v>
      </c>
      <c r="B36" s="59">
        <v>550</v>
      </c>
      <c r="C36" s="209">
        <v>0</v>
      </c>
      <c r="D36" s="173"/>
      <c r="F36" s="20"/>
    </row>
    <row r="37" spans="1:6" ht="21.75" customHeight="1">
      <c r="A37" s="56" t="s">
        <v>85</v>
      </c>
      <c r="B37" s="59">
        <v>600</v>
      </c>
      <c r="C37" s="172"/>
      <c r="D37" s="206">
        <v>5000</v>
      </c>
      <c r="F37" s="20"/>
    </row>
    <row r="38" spans="1:4" ht="21.75" customHeight="1">
      <c r="A38" s="56" t="s">
        <v>218</v>
      </c>
      <c r="B38" s="59">
        <v>600</v>
      </c>
      <c r="C38" s="172"/>
      <c r="D38" s="206">
        <v>0</v>
      </c>
    </row>
    <row r="39" spans="1:4" ht="21.75" customHeight="1">
      <c r="A39" s="56" t="s">
        <v>62</v>
      </c>
      <c r="B39" s="59">
        <v>700</v>
      </c>
      <c r="C39" s="172"/>
      <c r="D39" s="206">
        <v>22285535.64</v>
      </c>
    </row>
    <row r="40" spans="1:4" ht="21.75" customHeight="1">
      <c r="A40" s="56" t="s">
        <v>63</v>
      </c>
      <c r="B40" s="59">
        <v>703</v>
      </c>
      <c r="C40" s="172"/>
      <c r="D40" s="206">
        <v>8680119.48</v>
      </c>
    </row>
    <row r="41" spans="1:4" ht="21.75" customHeight="1">
      <c r="A41" s="56" t="s">
        <v>101</v>
      </c>
      <c r="B41" s="59">
        <v>800</v>
      </c>
      <c r="C41" s="172"/>
      <c r="D41" s="206">
        <v>4304022.95</v>
      </c>
    </row>
    <row r="42" spans="1:4" ht="21.75" customHeight="1">
      <c r="A42" s="56" t="s">
        <v>103</v>
      </c>
      <c r="B42" s="59">
        <v>801</v>
      </c>
      <c r="C42" s="172"/>
      <c r="D42" s="206">
        <v>3962284.24</v>
      </c>
    </row>
    <row r="43" spans="1:4" ht="21.75" customHeight="1">
      <c r="A43" s="56" t="s">
        <v>64</v>
      </c>
      <c r="B43" s="59">
        <v>821</v>
      </c>
      <c r="C43" s="172"/>
      <c r="D43" s="206">
        <v>23587697.64</v>
      </c>
    </row>
    <row r="44" spans="1:4" ht="21.75" customHeight="1">
      <c r="A44" s="61" t="s">
        <v>98</v>
      </c>
      <c r="B44" s="62">
        <v>900</v>
      </c>
      <c r="C44" s="174"/>
      <c r="D44" s="215">
        <v>327348.16</v>
      </c>
    </row>
    <row r="45" spans="1:4" ht="21.75" customHeight="1" thickBot="1">
      <c r="A45" s="36" t="s">
        <v>48</v>
      </c>
      <c r="B45" s="35"/>
      <c r="C45" s="175">
        <f>SUM(C6:C43)</f>
        <v>63138158.11000001</v>
      </c>
      <c r="D45" s="176">
        <f>SUM(D37:D44)</f>
        <v>63152008.11</v>
      </c>
    </row>
    <row r="46" ht="24" thickTop="1"/>
    <row r="53" spans="1:5" ht="23.25">
      <c r="A53" s="217"/>
      <c r="B53" s="217"/>
      <c r="C53" s="217"/>
      <c r="D53" s="217"/>
      <c r="E53" s="217"/>
    </row>
    <row r="54" spans="1:5" ht="23.25">
      <c r="A54" s="216"/>
      <c r="B54" s="216"/>
      <c r="C54" s="216"/>
      <c r="D54" s="216"/>
      <c r="E54" s="216"/>
    </row>
    <row r="55" spans="1:5" ht="23.25">
      <c r="A55" s="216"/>
      <c r="B55" s="216"/>
      <c r="C55" s="216"/>
      <c r="D55" s="216"/>
      <c r="E55" s="216"/>
    </row>
    <row r="57" ht="23.25">
      <c r="C57" s="21"/>
    </row>
    <row r="58" ht="23.25">
      <c r="C58" s="21"/>
    </row>
    <row r="59" ht="23.25">
      <c r="C59" s="21"/>
    </row>
  </sheetData>
  <sheetProtection/>
  <mergeCells count="6">
    <mergeCell ref="A54:E54"/>
    <mergeCell ref="A55:E55"/>
    <mergeCell ref="A53:E53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6"/>
  <sheetViews>
    <sheetView zoomScalePageLayoutView="0" workbookViewId="0" topLeftCell="A72">
      <selection activeCell="H82" sqref="H82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18" t="s">
        <v>119</v>
      </c>
      <c r="B3" s="218"/>
      <c r="C3" s="218"/>
      <c r="D3" s="218"/>
      <c r="E3" s="218"/>
    </row>
    <row r="4" spans="1:5" ht="25.5" customHeight="1">
      <c r="A4" s="218" t="s">
        <v>9</v>
      </c>
      <c r="B4" s="218"/>
      <c r="C4" s="218"/>
      <c r="D4" s="218"/>
      <c r="E4" s="218"/>
    </row>
    <row r="5" ht="22.5" customHeight="1">
      <c r="E5" s="15" t="s">
        <v>219</v>
      </c>
    </row>
    <row r="6" spans="1:5" ht="22.5" customHeight="1">
      <c r="A6" s="218" t="s">
        <v>10</v>
      </c>
      <c r="B6" s="218"/>
      <c r="C6" s="218"/>
      <c r="D6" s="218"/>
      <c r="E6" s="218"/>
    </row>
    <row r="7" spans="1:5" ht="22.5" customHeight="1" thickBot="1">
      <c r="A7" s="8" t="s">
        <v>258</v>
      </c>
      <c r="B7" s="8"/>
      <c r="C7" s="8"/>
      <c r="D7" s="8"/>
      <c r="E7" s="8"/>
    </row>
    <row r="8" spans="1:5" ht="24" customHeight="1" thickTop="1">
      <c r="A8" s="220" t="s">
        <v>11</v>
      </c>
      <c r="B8" s="221"/>
      <c r="C8" s="9"/>
      <c r="D8" s="13"/>
      <c r="E8" s="181" t="s">
        <v>14</v>
      </c>
    </row>
    <row r="9" spans="1:5" ht="23.25">
      <c r="A9" s="178" t="s">
        <v>12</v>
      </c>
      <c r="B9" s="179" t="s">
        <v>13</v>
      </c>
      <c r="C9" s="30" t="s">
        <v>5</v>
      </c>
      <c r="D9" s="18" t="s">
        <v>8</v>
      </c>
      <c r="E9" s="179" t="s">
        <v>13</v>
      </c>
    </row>
    <row r="10" spans="1:5" ht="22.5" thickBot="1">
      <c r="A10" s="177" t="s">
        <v>4</v>
      </c>
      <c r="B10" s="180" t="s">
        <v>4</v>
      </c>
      <c r="C10" s="10"/>
      <c r="D10" s="16"/>
      <c r="E10" s="180" t="s">
        <v>4</v>
      </c>
    </row>
    <row r="11" spans="1:5" ht="22.5" thickTop="1">
      <c r="A11" s="12"/>
      <c r="B11" s="183">
        <v>20861359.35</v>
      </c>
      <c r="C11" s="15" t="s">
        <v>16</v>
      </c>
      <c r="D11" s="2"/>
      <c r="E11" s="183">
        <v>19716461.77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3">
        <v>202600</v>
      </c>
      <c r="B13" s="191">
        <f>2136.38+850+11168.54+61070.69+58075.33+12394.18+11123.24+3030.04+1070</f>
        <v>160918.4</v>
      </c>
      <c r="C13" s="184" t="s">
        <v>17</v>
      </c>
      <c r="D13" s="185" t="s">
        <v>24</v>
      </c>
      <c r="E13" s="191">
        <v>1070</v>
      </c>
    </row>
    <row r="14" spans="1:5" ht="21.75">
      <c r="A14" s="204">
        <v>89080</v>
      </c>
      <c r="B14" s="191">
        <v>117823</v>
      </c>
      <c r="C14" s="184" t="s">
        <v>18</v>
      </c>
      <c r="D14" s="185" t="s">
        <v>25</v>
      </c>
      <c r="E14" s="191">
        <v>1998</v>
      </c>
    </row>
    <row r="15" spans="1:5" ht="21.75">
      <c r="A15" s="203">
        <v>436000</v>
      </c>
      <c r="B15" s="190">
        <f>6000+3000+6000+3000+3000+3000+125057.66+7568.12</f>
        <v>156625.78</v>
      </c>
      <c r="C15" s="184" t="s">
        <v>19</v>
      </c>
      <c r="D15" s="185" t="s">
        <v>26</v>
      </c>
      <c r="E15" s="190">
        <v>7568.12</v>
      </c>
    </row>
    <row r="16" spans="1:5" ht="21.75">
      <c r="A16" s="203">
        <v>0</v>
      </c>
      <c r="B16" s="191">
        <v>0</v>
      </c>
      <c r="C16" s="184" t="s">
        <v>20</v>
      </c>
      <c r="D16" s="185" t="s">
        <v>27</v>
      </c>
      <c r="E16" s="191">
        <v>0</v>
      </c>
    </row>
    <row r="17" spans="1:5" ht="21.75">
      <c r="A17" s="203">
        <v>52000</v>
      </c>
      <c r="B17" s="190">
        <f>1508+186+340+160+1728+964+3818+4118+3626</f>
        <v>16448</v>
      </c>
      <c r="C17" s="184" t="s">
        <v>21</v>
      </c>
      <c r="D17" s="185" t="s">
        <v>28</v>
      </c>
      <c r="E17" s="190">
        <v>3626</v>
      </c>
    </row>
    <row r="18" spans="1:5" ht="21.75">
      <c r="A18" s="204">
        <v>0</v>
      </c>
      <c r="B18" s="186">
        <f>9312.32+118819.57</f>
        <v>128131.89000000001</v>
      </c>
      <c r="C18" s="184" t="s">
        <v>22</v>
      </c>
      <c r="D18" s="185" t="s">
        <v>29</v>
      </c>
      <c r="E18" s="190">
        <v>0</v>
      </c>
    </row>
    <row r="19" spans="1:5" ht="21.75">
      <c r="A19" s="203">
        <v>16000000</v>
      </c>
      <c r="B19" s="190">
        <f>2345288.51+1258653.46+155.2+222455.86+2620440.23+1126648.99+1761862.94+2306869.88+201799</f>
        <v>11844174.07</v>
      </c>
      <c r="C19" s="184" t="s">
        <v>23</v>
      </c>
      <c r="D19" s="185" t="s">
        <v>30</v>
      </c>
      <c r="E19" s="190">
        <v>201799</v>
      </c>
    </row>
    <row r="20" spans="1:5" ht="21.75">
      <c r="A20" s="203">
        <v>13700000</v>
      </c>
      <c r="B20" s="190">
        <f>4363678+4079358+1222776+150150+1041795</f>
        <v>10857757</v>
      </c>
      <c r="C20" s="184" t="s">
        <v>96</v>
      </c>
      <c r="D20" s="185" t="s">
        <v>31</v>
      </c>
      <c r="E20" s="190">
        <v>1041795</v>
      </c>
    </row>
    <row r="21" spans="1:5" ht="22.5" thickBot="1">
      <c r="A21" s="205">
        <f>SUM(A13:A20)</f>
        <v>30479680</v>
      </c>
      <c r="B21" s="192">
        <f>SUM(B13:B20)</f>
        <v>23281878.14</v>
      </c>
      <c r="D21" s="14"/>
      <c r="E21" s="192">
        <f>SUM(E13:E20)</f>
        <v>1257856.12</v>
      </c>
    </row>
    <row r="22" spans="2:5" ht="22.5" thickTop="1">
      <c r="B22" s="189">
        <f>123450+123450+126946.5</f>
        <v>373846.5</v>
      </c>
      <c r="C22" s="184" t="s">
        <v>65</v>
      </c>
      <c r="D22" s="187">
        <v>62000</v>
      </c>
      <c r="E22" s="213">
        <v>126946.5</v>
      </c>
    </row>
    <row r="23" spans="2:5" ht="21.75">
      <c r="B23" s="190">
        <f>157.03+398.52+39.61+39.9+562.02</f>
        <v>1197.08</v>
      </c>
      <c r="C23" s="184" t="s">
        <v>86</v>
      </c>
      <c r="D23" s="188" t="s">
        <v>88</v>
      </c>
      <c r="E23" s="190">
        <v>0</v>
      </c>
    </row>
    <row r="24" spans="2:5" ht="21.75">
      <c r="B24" s="186">
        <f>500+9000</f>
        <v>9500</v>
      </c>
      <c r="C24" s="184" t="s">
        <v>66</v>
      </c>
      <c r="D24" s="188" t="s">
        <v>52</v>
      </c>
      <c r="E24" s="186">
        <v>9000</v>
      </c>
    </row>
    <row r="25" spans="2:5" ht="21.75">
      <c r="B25" s="190">
        <f>120647</f>
        <v>120647</v>
      </c>
      <c r="C25" s="184" t="s">
        <v>217</v>
      </c>
      <c r="D25" s="188"/>
      <c r="E25" s="190">
        <v>0</v>
      </c>
    </row>
    <row r="26" spans="2:5" ht="21.75">
      <c r="B26" s="190">
        <f>3000+3100+1500+1500+800</f>
        <v>9900</v>
      </c>
      <c r="C26" s="184" t="s">
        <v>220</v>
      </c>
      <c r="D26" s="188"/>
      <c r="E26" s="190">
        <v>800</v>
      </c>
    </row>
    <row r="27" spans="2:5" ht="21.75">
      <c r="B27" s="186">
        <f>2449</f>
        <v>2449</v>
      </c>
      <c r="C27" s="184" t="s">
        <v>255</v>
      </c>
      <c r="D27" s="187">
        <v>100</v>
      </c>
      <c r="E27" s="186">
        <v>0</v>
      </c>
    </row>
    <row r="28" spans="2:5" ht="21.75">
      <c r="B28" s="190">
        <f>633676.27+304311.35+383159.3+421001.01+328303.69+311626.99+332131.87+293468.76+298974.26</f>
        <v>3306653.5</v>
      </c>
      <c r="C28" s="184" t="s">
        <v>87</v>
      </c>
      <c r="D28" s="187">
        <v>900</v>
      </c>
      <c r="E28" s="193">
        <v>298974.26</v>
      </c>
    </row>
    <row r="29" spans="2:5" ht="21.75">
      <c r="B29" s="40"/>
      <c r="D29" s="14"/>
      <c r="E29" s="23"/>
    </row>
    <row r="30" spans="2:5" ht="21.75">
      <c r="B30" s="2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2"/>
      <c r="E32" s="23"/>
    </row>
    <row r="33" spans="2:5" ht="21.75">
      <c r="B33" s="3"/>
      <c r="D33" s="2"/>
      <c r="E33" s="26"/>
    </row>
    <row r="34" spans="2:5" ht="21.75">
      <c r="B34" s="194">
        <f>SUM(B22:B33)</f>
        <v>3824193.08</v>
      </c>
      <c r="D34" s="2"/>
      <c r="E34" s="195">
        <f>SUM(E22:E28)</f>
        <v>435720.76</v>
      </c>
    </row>
    <row r="35" spans="2:5" ht="26.25" customHeight="1" thickBot="1">
      <c r="B35" s="196">
        <f>SUM(B34+B21)</f>
        <v>27106071.22</v>
      </c>
      <c r="C35" s="11" t="s">
        <v>15</v>
      </c>
      <c r="D35" s="3"/>
      <c r="E35" s="196">
        <f>SUM(+E34+E21)</f>
        <v>1693576.8800000001</v>
      </c>
    </row>
    <row r="36" spans="2:5" ht="22.5" thickTop="1">
      <c r="B36" s="4"/>
      <c r="C36" s="11"/>
      <c r="D36" s="4"/>
      <c r="E36" s="4"/>
    </row>
    <row r="37" spans="2:5" ht="21.75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1:3" ht="22.5" customHeight="1">
      <c r="A44" s="4"/>
      <c r="B44" s="4"/>
      <c r="C44" s="4"/>
    </row>
    <row r="45" spans="1:3" s="166" customFormat="1" ht="22.5" customHeight="1">
      <c r="A45" s="165"/>
      <c r="B45" s="165"/>
      <c r="C45" s="165"/>
    </row>
    <row r="46" spans="1:6" s="166" customFormat="1" ht="22.5" customHeight="1">
      <c r="A46" s="219" t="s">
        <v>204</v>
      </c>
      <c r="B46" s="219"/>
      <c r="C46" s="219"/>
      <c r="D46" s="219"/>
      <c r="E46" s="219"/>
      <c r="F46" s="219"/>
    </row>
    <row r="47" spans="1:3" s="166" customFormat="1" ht="22.5" customHeight="1">
      <c r="A47" s="165"/>
      <c r="B47" s="165"/>
      <c r="C47" s="165"/>
    </row>
    <row r="48" spans="1:3" ht="22.5" customHeight="1" thickBot="1">
      <c r="A48" s="4"/>
      <c r="B48" s="4"/>
      <c r="C48" s="4"/>
    </row>
    <row r="49" spans="1:5" ht="24" customHeight="1" thickTop="1">
      <c r="A49" s="220" t="s">
        <v>11</v>
      </c>
      <c r="B49" s="221"/>
      <c r="C49" s="41"/>
      <c r="D49" s="13"/>
      <c r="E49" s="181" t="s">
        <v>14</v>
      </c>
    </row>
    <row r="50" spans="1:5" ht="23.25">
      <c r="A50" s="178" t="s">
        <v>12</v>
      </c>
      <c r="B50" s="179" t="s">
        <v>13</v>
      </c>
      <c r="C50" s="30" t="s">
        <v>5</v>
      </c>
      <c r="D50" s="14" t="s">
        <v>8</v>
      </c>
      <c r="E50" s="179" t="s">
        <v>13</v>
      </c>
    </row>
    <row r="51" spans="1:5" ht="22.5" thickBot="1">
      <c r="A51" s="177" t="s">
        <v>4</v>
      </c>
      <c r="B51" s="180" t="s">
        <v>4</v>
      </c>
      <c r="C51" s="10"/>
      <c r="D51" s="16"/>
      <c r="E51" s="180" t="s">
        <v>4</v>
      </c>
    </row>
    <row r="52" spans="1:5" ht="22.5" thickTop="1">
      <c r="A52" s="12"/>
      <c r="B52" s="2"/>
      <c r="C52" s="17" t="s">
        <v>32</v>
      </c>
      <c r="D52" s="2"/>
      <c r="E52" s="2"/>
    </row>
    <row r="53" spans="1:5" ht="21.75">
      <c r="A53" s="22">
        <v>6890380</v>
      </c>
      <c r="B53" s="197">
        <f>528388.3+273212.35+495353.16+432553.51+295447.73+603383.18+1047451.93+269912.62+265375.87</f>
        <v>4211078.65</v>
      </c>
      <c r="C53" s="15" t="s">
        <v>33</v>
      </c>
      <c r="D53" s="6" t="s">
        <v>47</v>
      </c>
      <c r="E53" s="197">
        <v>265375.87</v>
      </c>
    </row>
    <row r="54" spans="1:5" ht="21.75">
      <c r="A54" s="22">
        <v>0</v>
      </c>
      <c r="B54" s="197">
        <f>1650+1650</f>
        <v>3300</v>
      </c>
      <c r="C54" s="15" t="s">
        <v>194</v>
      </c>
      <c r="D54" s="6">
        <v>6000</v>
      </c>
      <c r="E54" s="197">
        <v>0</v>
      </c>
    </row>
    <row r="55" spans="1:5" ht="21.75">
      <c r="A55" s="22">
        <v>9829580</v>
      </c>
      <c r="B55" s="197">
        <f>1531861+767970+777002+777970+777970+787790+759750+747580+747580</f>
        <v>7675473</v>
      </c>
      <c r="C55" s="15" t="s">
        <v>195</v>
      </c>
      <c r="D55" s="5">
        <v>100</v>
      </c>
      <c r="E55" s="197">
        <v>747580</v>
      </c>
    </row>
    <row r="56" spans="1:5" ht="21.75">
      <c r="A56" s="22">
        <v>0</v>
      </c>
      <c r="B56" s="197">
        <f>36500+36500</f>
        <v>73000</v>
      </c>
      <c r="C56" s="15" t="s">
        <v>196</v>
      </c>
      <c r="D56" s="5">
        <v>6100</v>
      </c>
      <c r="E56" s="197">
        <v>0</v>
      </c>
    </row>
    <row r="57" spans="1:5" ht="21.75">
      <c r="A57" s="29">
        <v>2624640</v>
      </c>
      <c r="B57" s="197">
        <f>437440+218720+218720+218720+218720+218720+218720+218720+218720</f>
        <v>2187200</v>
      </c>
      <c r="C57" s="15" t="s">
        <v>197</v>
      </c>
      <c r="D57" s="5">
        <v>100</v>
      </c>
      <c r="E57" s="197">
        <v>218720</v>
      </c>
    </row>
    <row r="58" spans="1:5" ht="21.75">
      <c r="A58" s="22">
        <v>369600</v>
      </c>
      <c r="B58" s="197">
        <f>15700+35600+20500+30350+28000+16300+21600+16800+16800</f>
        <v>201650</v>
      </c>
      <c r="C58" s="15" t="s">
        <v>34</v>
      </c>
      <c r="D58" s="5">
        <v>200</v>
      </c>
      <c r="E58" s="197">
        <v>16800</v>
      </c>
    </row>
    <row r="59" spans="1:5" ht="21.75">
      <c r="A59" s="22">
        <v>0</v>
      </c>
      <c r="B59" s="197">
        <f>3000+6000</f>
        <v>9000</v>
      </c>
      <c r="C59" s="15" t="s">
        <v>198</v>
      </c>
      <c r="D59" s="5">
        <v>6200</v>
      </c>
      <c r="E59" s="197">
        <v>0</v>
      </c>
    </row>
    <row r="60" spans="1:5" ht="21.75">
      <c r="A60" s="22">
        <v>6886200</v>
      </c>
      <c r="B60" s="197">
        <f>383295.67+510700+415944.75+593588.75+250356.58+373276.75+230491+231797.5+344377.55</f>
        <v>3333828.55</v>
      </c>
      <c r="C60" s="15" t="s">
        <v>35</v>
      </c>
      <c r="D60" s="5">
        <v>250</v>
      </c>
      <c r="E60" s="197">
        <v>344377.55</v>
      </c>
    </row>
    <row r="61" spans="1:5" ht="21.75">
      <c r="A61" s="22">
        <v>2114670</v>
      </c>
      <c r="B61" s="197">
        <f>61480+99711.7+83026.6+70693.9+56842.6+240649.02+73599.15+65169.5+118306.45</f>
        <v>869478.9199999999</v>
      </c>
      <c r="C61" s="15" t="s">
        <v>36</v>
      </c>
      <c r="D61" s="5">
        <v>270</v>
      </c>
      <c r="E61" s="197">
        <v>118306.45</v>
      </c>
    </row>
    <row r="62" spans="1:5" ht="21.75">
      <c r="A62" s="22">
        <v>0</v>
      </c>
      <c r="B62" s="197">
        <v>0</v>
      </c>
      <c r="C62" s="15" t="s">
        <v>199</v>
      </c>
      <c r="D62" s="5">
        <v>6270</v>
      </c>
      <c r="E62" s="197">
        <v>0</v>
      </c>
    </row>
    <row r="63" spans="1:5" ht="21.75">
      <c r="A63" s="22">
        <v>558000</v>
      </c>
      <c r="B63" s="197">
        <f>75582.49+30907.2+26786.86+32420.34+27005.13+36264.73+33438.55+32575.3+35418.21</f>
        <v>330398.81</v>
      </c>
      <c r="C63" s="15" t="s">
        <v>37</v>
      </c>
      <c r="D63" s="5">
        <v>300</v>
      </c>
      <c r="E63" s="197">
        <v>35418.21</v>
      </c>
    </row>
    <row r="64" spans="1:5" ht="21.75">
      <c r="A64" s="22">
        <v>98500</v>
      </c>
      <c r="B64" s="197">
        <f>15000+5000</f>
        <v>20000</v>
      </c>
      <c r="C64" s="15" t="s">
        <v>38</v>
      </c>
      <c r="D64" s="5">
        <v>400</v>
      </c>
      <c r="E64" s="197">
        <v>0</v>
      </c>
    </row>
    <row r="65" spans="1:5" ht="21.75">
      <c r="A65" s="22">
        <v>576300</v>
      </c>
      <c r="B65" s="197">
        <f>14147+31120+8470+11850+24060+12550+7300</f>
        <v>109497</v>
      </c>
      <c r="C65" s="15" t="s">
        <v>39</v>
      </c>
      <c r="D65" s="5">
        <v>450</v>
      </c>
      <c r="E65" s="197">
        <v>7300</v>
      </c>
    </row>
    <row r="66" spans="1:5" ht="21.75">
      <c r="A66" s="22">
        <v>525000</v>
      </c>
      <c r="B66" s="28">
        <f>348000</f>
        <v>348000</v>
      </c>
      <c r="C66" s="15" t="s">
        <v>40</v>
      </c>
      <c r="D66" s="5">
        <v>500</v>
      </c>
      <c r="E66" s="197">
        <v>0</v>
      </c>
    </row>
    <row r="67" spans="1:5" ht="21.75">
      <c r="A67" s="29">
        <v>0</v>
      </c>
      <c r="B67" s="182">
        <v>0</v>
      </c>
      <c r="C67" s="15" t="s">
        <v>74</v>
      </c>
      <c r="D67" s="5">
        <v>550</v>
      </c>
      <c r="E67" s="198">
        <v>0</v>
      </c>
    </row>
    <row r="68" spans="1:5" ht="22.5" thickBot="1">
      <c r="A68" s="27">
        <f>SUM(A53:A67)</f>
        <v>30472870</v>
      </c>
      <c r="B68" s="199">
        <f>SUM(B53:B67)</f>
        <v>19371904.929999996</v>
      </c>
      <c r="C68" s="15"/>
      <c r="D68" s="5"/>
      <c r="E68" s="199">
        <f>SUM(E53:E67)</f>
        <v>1753878.08</v>
      </c>
    </row>
    <row r="69" spans="1:5" ht="22.5" thickTop="1">
      <c r="A69" s="25"/>
      <c r="B69" s="28">
        <v>0</v>
      </c>
      <c r="C69" s="15" t="s">
        <v>40</v>
      </c>
      <c r="D69" s="5">
        <v>6500</v>
      </c>
      <c r="E69" s="197">
        <v>0</v>
      </c>
    </row>
    <row r="70" spans="1:5" ht="21.75">
      <c r="A70" s="25"/>
      <c r="B70" s="28">
        <v>0</v>
      </c>
      <c r="C70" s="15" t="s">
        <v>39</v>
      </c>
      <c r="D70" s="5">
        <v>7450</v>
      </c>
      <c r="E70" s="197">
        <v>0</v>
      </c>
    </row>
    <row r="71" spans="1:5" ht="21.75">
      <c r="A71" s="25"/>
      <c r="B71" s="28">
        <v>0</v>
      </c>
      <c r="C71" s="15" t="s">
        <v>97</v>
      </c>
      <c r="D71" s="5"/>
      <c r="E71" s="197">
        <v>0</v>
      </c>
    </row>
    <row r="72" spans="1:5" ht="23.25">
      <c r="A72" s="25"/>
      <c r="B72" s="197">
        <f>237000+5022+3800+131074+37500+22800+53900</f>
        <v>491096</v>
      </c>
      <c r="C72" s="15" t="s">
        <v>67</v>
      </c>
      <c r="D72" s="33" t="s">
        <v>52</v>
      </c>
      <c r="E72" s="200">
        <v>53900</v>
      </c>
    </row>
    <row r="73" spans="1:5" ht="23.25">
      <c r="A73" s="25"/>
      <c r="B73" s="197">
        <f>38150+39500+41150+41150+41710+41738+37060+40060</f>
        <v>320518</v>
      </c>
      <c r="C73" s="15" t="s">
        <v>72</v>
      </c>
      <c r="D73" s="33"/>
      <c r="E73" s="200">
        <v>40060</v>
      </c>
    </row>
    <row r="74" spans="1:5" ht="23.25">
      <c r="A74" s="25"/>
      <c r="B74" s="197">
        <f>1290000+294892+469500+295500</f>
        <v>2349892</v>
      </c>
      <c r="C74" s="15" t="s">
        <v>200</v>
      </c>
      <c r="D74" s="5">
        <v>600</v>
      </c>
      <c r="E74" s="200">
        <v>0</v>
      </c>
    </row>
    <row r="75" spans="1:5" ht="21.75">
      <c r="A75" s="25"/>
      <c r="B75" s="197">
        <v>0</v>
      </c>
      <c r="C75" s="15" t="s">
        <v>201</v>
      </c>
      <c r="D75" s="5">
        <v>600</v>
      </c>
      <c r="E75" s="197">
        <v>0</v>
      </c>
    </row>
    <row r="76" spans="1:5" ht="21.75">
      <c r="A76" s="25"/>
      <c r="B76" s="197">
        <f>1830000+843000</f>
        <v>2673000</v>
      </c>
      <c r="C76" s="15" t="s">
        <v>68</v>
      </c>
      <c r="D76" s="5">
        <v>700</v>
      </c>
      <c r="E76" s="197">
        <v>0</v>
      </c>
    </row>
    <row r="77" spans="1:5" ht="21.75">
      <c r="A77" s="25"/>
      <c r="B77" s="197">
        <f>828276.16+312348.78+282364.1+399722.51+394249.55+308738.94+329571.6+343547.43+316744.8</f>
        <v>3515563.87</v>
      </c>
      <c r="C77" s="15" t="s">
        <v>209</v>
      </c>
      <c r="D77" s="167">
        <v>900</v>
      </c>
      <c r="E77" s="197">
        <v>316744.8</v>
      </c>
    </row>
    <row r="78" spans="1:5" ht="21.75">
      <c r="A78" s="25"/>
      <c r="B78" s="194">
        <f>SUM(B69:B77)</f>
        <v>9350069.870000001</v>
      </c>
      <c r="C78" s="11" t="s">
        <v>41</v>
      </c>
      <c r="D78" s="4"/>
      <c r="E78" s="194">
        <f>SUM(E69:E77)</f>
        <v>410704.8</v>
      </c>
    </row>
    <row r="79" spans="1:5" ht="21.75">
      <c r="A79" s="25"/>
      <c r="B79" s="194">
        <f>SUM(B78+B68)</f>
        <v>28721974.799999997</v>
      </c>
      <c r="C79" s="11" t="s">
        <v>42</v>
      </c>
      <c r="D79" s="4"/>
      <c r="E79" s="194">
        <f>SUM(E78+E68)</f>
        <v>2164582.88</v>
      </c>
    </row>
    <row r="80" spans="1:5" ht="21.75">
      <c r="A80" s="25"/>
      <c r="B80" s="210"/>
      <c r="C80" s="15" t="s">
        <v>45</v>
      </c>
      <c r="E80" s="210"/>
    </row>
    <row r="81" spans="1:5" ht="21.75">
      <c r="A81" s="25"/>
      <c r="B81" s="201" t="s">
        <v>268</v>
      </c>
      <c r="C81" s="11" t="s">
        <v>43</v>
      </c>
      <c r="E81" s="201" t="s">
        <v>259</v>
      </c>
    </row>
    <row r="82" spans="1:5" ht="21.75">
      <c r="A82" s="25"/>
      <c r="B82" s="202">
        <v>19245455.77</v>
      </c>
      <c r="C82" s="11" t="s">
        <v>44</v>
      </c>
      <c r="E82" s="202">
        <v>19245455.77</v>
      </c>
    </row>
    <row r="83" spans="1:5" ht="26.25" customHeight="1">
      <c r="A83" s="25"/>
      <c r="B83" s="24"/>
      <c r="C83" s="11"/>
      <c r="E83" s="24"/>
    </row>
    <row r="84" ht="28.5" customHeight="1">
      <c r="A84" s="1" t="s">
        <v>69</v>
      </c>
    </row>
    <row r="85" s="19" customFormat="1" ht="21">
      <c r="A85" s="19" t="s">
        <v>202</v>
      </c>
    </row>
    <row r="86" s="19" customFormat="1" ht="21">
      <c r="A86" s="19" t="s">
        <v>203</v>
      </c>
    </row>
    <row r="87" s="19" customFormat="1" ht="21"/>
  </sheetData>
  <sheetProtection/>
  <mergeCells count="6">
    <mergeCell ref="A46:F46"/>
    <mergeCell ref="A3:E3"/>
    <mergeCell ref="A4:E4"/>
    <mergeCell ref="A6:E6"/>
    <mergeCell ref="A49:B49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2"/>
  <sheetViews>
    <sheetView view="pageBreakPreview" zoomScaleSheetLayoutView="100" zoomScalePageLayoutView="0" workbookViewId="0" topLeftCell="A28">
      <selection activeCell="B37" sqref="B37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1" spans="1:2" ht="26.25">
      <c r="A1" s="222" t="s">
        <v>70</v>
      </c>
      <c r="B1" s="222"/>
    </row>
    <row r="2" spans="1:2" ht="26.25">
      <c r="A2" s="222" t="s">
        <v>257</v>
      </c>
      <c r="B2" s="222"/>
    </row>
    <row r="3" spans="1:2" ht="26.25">
      <c r="A3" s="222" t="s">
        <v>89</v>
      </c>
      <c r="B3" s="222"/>
    </row>
    <row r="5" spans="1:2" ht="23.25">
      <c r="A5" s="7" t="s">
        <v>221</v>
      </c>
      <c r="B5" s="32">
        <v>5690.42</v>
      </c>
    </row>
    <row r="6" spans="1:2" ht="23.25">
      <c r="A6" s="7" t="s">
        <v>222</v>
      </c>
      <c r="B6" s="32">
        <v>157.03</v>
      </c>
    </row>
    <row r="7" spans="1:2" ht="23.25">
      <c r="A7" s="7" t="s">
        <v>235</v>
      </c>
      <c r="B7" s="32">
        <v>398.52</v>
      </c>
    </row>
    <row r="8" spans="1:2" ht="23.25">
      <c r="A8" s="7" t="s">
        <v>239</v>
      </c>
      <c r="B8" s="32">
        <v>39.61</v>
      </c>
    </row>
    <row r="9" spans="1:2" ht="23.25">
      <c r="A9" s="7" t="s">
        <v>240</v>
      </c>
      <c r="B9" s="32">
        <v>39.9</v>
      </c>
    </row>
    <row r="10" spans="1:2" ht="23.25">
      <c r="A10" s="7" t="s">
        <v>245</v>
      </c>
      <c r="B10" s="32">
        <v>562.02</v>
      </c>
    </row>
    <row r="11" spans="1:2" ht="22.5" thickBot="1">
      <c r="A11" s="1" t="s">
        <v>90</v>
      </c>
      <c r="B11" s="44">
        <f>SUM(B5-B6-B7-B8-B9-B10)</f>
        <v>4493.340000000002</v>
      </c>
    </row>
    <row r="12" ht="22.5" thickTop="1">
      <c r="B12" s="46"/>
    </row>
    <row r="14" spans="1:3" ht="26.25">
      <c r="A14" s="222" t="s">
        <v>76</v>
      </c>
      <c r="B14" s="222"/>
      <c r="C14" s="222"/>
    </row>
    <row r="15" spans="1:3" ht="26.25">
      <c r="A15" s="222" t="s">
        <v>257</v>
      </c>
      <c r="B15" s="222"/>
      <c r="C15" s="222"/>
    </row>
    <row r="16" spans="1:3" ht="26.25">
      <c r="A16" s="222" t="s">
        <v>71</v>
      </c>
      <c r="B16" s="222"/>
      <c r="C16" s="222"/>
    </row>
    <row r="17" spans="1:2" ht="21.75" customHeight="1">
      <c r="A17" s="37"/>
      <c r="B17" s="37"/>
    </row>
    <row r="18" spans="1:3" ht="24.75" customHeight="1">
      <c r="A18" s="37"/>
      <c r="B18" s="49" t="s">
        <v>224</v>
      </c>
      <c r="C18" s="48" t="s">
        <v>212</v>
      </c>
    </row>
    <row r="19" spans="1:3" ht="23.25">
      <c r="A19" s="7" t="s">
        <v>223</v>
      </c>
      <c r="B19" s="42">
        <v>1290000</v>
      </c>
      <c r="C19" s="32"/>
    </row>
    <row r="20" spans="1:3" ht="23.25">
      <c r="A20" s="51" t="s">
        <v>211</v>
      </c>
      <c r="B20" s="170">
        <v>1290000</v>
      </c>
      <c r="C20" s="32">
        <v>0</v>
      </c>
    </row>
    <row r="21" spans="1:3" ht="23.25">
      <c r="A21" s="7" t="s">
        <v>215</v>
      </c>
      <c r="B21" s="42">
        <v>294892</v>
      </c>
      <c r="C21" s="32"/>
    </row>
    <row r="22" spans="1:3" ht="23.25">
      <c r="A22" s="51" t="s">
        <v>211</v>
      </c>
      <c r="B22" s="170">
        <v>294892</v>
      </c>
      <c r="C22" s="32">
        <v>0</v>
      </c>
    </row>
    <row r="23" spans="1:3" ht="23.25">
      <c r="A23" s="7" t="s">
        <v>225</v>
      </c>
      <c r="B23" s="21">
        <v>300000</v>
      </c>
      <c r="C23" s="32"/>
    </row>
    <row r="24" spans="1:3" ht="23.25">
      <c r="A24" s="212" t="s">
        <v>211</v>
      </c>
      <c r="B24" s="21">
        <v>295500</v>
      </c>
      <c r="C24" s="32">
        <v>4500</v>
      </c>
    </row>
    <row r="25" spans="1:3" ht="23.25">
      <c r="A25" s="7" t="s">
        <v>226</v>
      </c>
      <c r="B25" s="21">
        <v>470000</v>
      </c>
      <c r="C25" s="32"/>
    </row>
    <row r="26" spans="1:3" ht="23.25">
      <c r="A26" s="212" t="s">
        <v>211</v>
      </c>
      <c r="B26" s="21">
        <v>469500</v>
      </c>
      <c r="C26" s="32">
        <v>500</v>
      </c>
    </row>
    <row r="27" spans="1:3" ht="24" thickBot="1">
      <c r="A27" s="31" t="s">
        <v>75</v>
      </c>
      <c r="B27" s="50">
        <f>SUM(B19+B21+B23+B26)</f>
        <v>2354392</v>
      </c>
      <c r="C27" s="169">
        <f>SUM(C19:C26)</f>
        <v>5000</v>
      </c>
    </row>
    <row r="28" spans="1:3" ht="24" thickTop="1">
      <c r="A28" s="31"/>
      <c r="B28" s="34"/>
      <c r="C28" s="4"/>
    </row>
    <row r="29" spans="1:2" ht="26.25">
      <c r="A29" s="222" t="s">
        <v>91</v>
      </c>
      <c r="B29" s="222"/>
    </row>
    <row r="30" spans="1:2" ht="26.25">
      <c r="A30" s="222" t="s">
        <v>257</v>
      </c>
      <c r="B30" s="222"/>
    </row>
    <row r="31" spans="1:2" ht="26.25">
      <c r="A31" s="222" t="s">
        <v>0</v>
      </c>
      <c r="B31" s="222"/>
    </row>
    <row r="32" spans="1:2" ht="14.25" customHeight="1">
      <c r="A32" s="37"/>
      <c r="B32" s="37"/>
    </row>
    <row r="33" spans="1:2" ht="23.25">
      <c r="A33" s="7" t="s">
        <v>77</v>
      </c>
      <c r="B33" s="211">
        <v>1777.51</v>
      </c>
    </row>
    <row r="34" spans="1:2" ht="23.25">
      <c r="A34" s="7" t="s">
        <v>79</v>
      </c>
      <c r="B34" s="211">
        <v>299269</v>
      </c>
    </row>
    <row r="35" spans="1:2" ht="23.25">
      <c r="A35" s="7" t="s">
        <v>78</v>
      </c>
      <c r="B35" s="20">
        <v>13880.85</v>
      </c>
    </row>
    <row r="36" spans="1:2" ht="23.25">
      <c r="A36" s="7" t="s">
        <v>106</v>
      </c>
      <c r="B36" s="20">
        <v>1006.8</v>
      </c>
    </row>
    <row r="37" spans="1:2" ht="23.25">
      <c r="A37" s="7" t="s">
        <v>216</v>
      </c>
      <c r="B37" s="20">
        <v>11414</v>
      </c>
    </row>
    <row r="38" spans="1:2" ht="24" customHeight="1" thickBot="1">
      <c r="A38" s="7"/>
      <c r="B38" s="43">
        <f>SUM(B33:B37)</f>
        <v>327348.16</v>
      </c>
    </row>
    <row r="39" spans="1:2" ht="24" customHeight="1" thickTop="1">
      <c r="A39" s="7"/>
      <c r="B39" s="214"/>
    </row>
    <row r="40" spans="1:2" ht="26.25">
      <c r="A40" s="222"/>
      <c r="B40" s="222"/>
    </row>
    <row r="41" spans="1:2" ht="26.25">
      <c r="A41" s="37"/>
      <c r="B41" s="37"/>
    </row>
    <row r="42" spans="1:2" ht="26.25">
      <c r="A42" s="222" t="s">
        <v>1</v>
      </c>
      <c r="B42" s="222"/>
    </row>
    <row r="43" spans="1:2" ht="26.25">
      <c r="A43" s="222" t="s">
        <v>257</v>
      </c>
      <c r="B43" s="222"/>
    </row>
    <row r="44" spans="1:2" ht="26.25">
      <c r="A44" s="222" t="s">
        <v>73</v>
      </c>
      <c r="B44" s="222"/>
    </row>
    <row r="45" spans="1:2" ht="18.75" customHeight="1">
      <c r="A45" s="37"/>
      <c r="B45" s="37"/>
    </row>
    <row r="46" spans="1:2" ht="23.25">
      <c r="A46" s="7" t="s">
        <v>205</v>
      </c>
      <c r="B46" s="32">
        <v>1070</v>
      </c>
    </row>
    <row r="47" spans="1:2" ht="23.25">
      <c r="A47" s="7" t="s">
        <v>206</v>
      </c>
      <c r="B47" s="32">
        <v>1926</v>
      </c>
    </row>
    <row r="48" spans="1:2" ht="23.25">
      <c r="A48" s="7" t="s">
        <v>246</v>
      </c>
      <c r="B48" s="32">
        <v>32</v>
      </c>
    </row>
    <row r="49" spans="1:2" ht="23.25">
      <c r="A49" s="7" t="s">
        <v>234</v>
      </c>
      <c r="B49" s="32">
        <v>20</v>
      </c>
    </row>
    <row r="50" spans="1:2" ht="23.25">
      <c r="A50" s="7" t="s">
        <v>247</v>
      </c>
      <c r="B50" s="32">
        <v>20</v>
      </c>
    </row>
    <row r="51" spans="1:2" ht="23.25">
      <c r="A51" s="7" t="s">
        <v>248</v>
      </c>
      <c r="B51" s="32">
        <v>7568.12</v>
      </c>
    </row>
    <row r="52" spans="1:2" ht="23.25">
      <c r="A52" s="7" t="s">
        <v>207</v>
      </c>
      <c r="B52" s="32">
        <v>116</v>
      </c>
    </row>
    <row r="53" spans="1:2" ht="23.25">
      <c r="A53" s="7" t="s">
        <v>208</v>
      </c>
      <c r="B53" s="32">
        <v>3510</v>
      </c>
    </row>
    <row r="54" spans="1:2" ht="23.25">
      <c r="A54" s="7" t="s">
        <v>249</v>
      </c>
      <c r="B54" s="32">
        <v>54820.71</v>
      </c>
    </row>
    <row r="55" spans="1:2" ht="23.25">
      <c r="A55" s="7" t="s">
        <v>250</v>
      </c>
      <c r="B55" s="32">
        <v>34508.93</v>
      </c>
    </row>
    <row r="56" spans="1:2" ht="23.25">
      <c r="A56" s="7" t="s">
        <v>251</v>
      </c>
      <c r="B56" s="32">
        <v>90571.58</v>
      </c>
    </row>
    <row r="57" spans="1:2" ht="23.25">
      <c r="A57" s="7" t="s">
        <v>252</v>
      </c>
      <c r="B57" s="32">
        <v>9197.96</v>
      </c>
    </row>
    <row r="58" spans="1:2" ht="23.25">
      <c r="A58" s="7" t="s">
        <v>253</v>
      </c>
      <c r="B58" s="32">
        <v>3459.82</v>
      </c>
    </row>
    <row r="59" spans="1:2" ht="23.25">
      <c r="A59" s="7" t="s">
        <v>254</v>
      </c>
      <c r="B59" s="32">
        <v>9240</v>
      </c>
    </row>
    <row r="60" spans="1:2" ht="23.25">
      <c r="A60" s="7" t="s">
        <v>261</v>
      </c>
      <c r="B60" s="32">
        <v>528700</v>
      </c>
    </row>
    <row r="61" spans="1:2" ht="23.25">
      <c r="A61" s="7" t="s">
        <v>262</v>
      </c>
      <c r="B61" s="32">
        <v>211200</v>
      </c>
    </row>
    <row r="62" spans="1:2" ht="23.25">
      <c r="A62" s="7" t="s">
        <v>263</v>
      </c>
      <c r="B62" s="32">
        <v>87655</v>
      </c>
    </row>
    <row r="63" spans="1:2" ht="23.25">
      <c r="A63" s="7" t="s">
        <v>264</v>
      </c>
      <c r="B63" s="32">
        <v>208240</v>
      </c>
    </row>
    <row r="64" spans="1:2" ht="23.25">
      <c r="A64" s="7" t="s">
        <v>265</v>
      </c>
      <c r="B64" s="32">
        <v>6000</v>
      </c>
    </row>
    <row r="65" spans="1:2" ht="23.25">
      <c r="A65" s="7" t="s">
        <v>266</v>
      </c>
      <c r="B65" s="32">
        <v>126946.5</v>
      </c>
    </row>
    <row r="66" spans="1:2" ht="24" thickBot="1">
      <c r="A66" s="7"/>
      <c r="B66" s="39">
        <f>SUM(B46:B65)</f>
        <v>1384802.62</v>
      </c>
    </row>
    <row r="67" spans="1:2" ht="24" thickTop="1">
      <c r="A67" s="7"/>
      <c r="B67" s="42"/>
    </row>
    <row r="68" spans="1:2" ht="26.25">
      <c r="A68" s="222" t="s">
        <v>2</v>
      </c>
      <c r="B68" s="222"/>
    </row>
    <row r="69" spans="1:2" ht="26.25">
      <c r="A69" s="222" t="s">
        <v>257</v>
      </c>
      <c r="B69" s="222"/>
    </row>
    <row r="70" spans="1:2" ht="26.25">
      <c r="A70" s="222" t="s">
        <v>89</v>
      </c>
      <c r="B70" s="222"/>
    </row>
    <row r="71" spans="1:2" ht="23.25">
      <c r="A71" s="7"/>
      <c r="B71" s="42"/>
    </row>
    <row r="72" spans="1:2" ht="23.25">
      <c r="A72" s="7" t="s">
        <v>92</v>
      </c>
      <c r="B72" s="42">
        <v>0</v>
      </c>
    </row>
    <row r="73" spans="1:2" ht="24" thickBot="1">
      <c r="A73" s="31" t="s">
        <v>95</v>
      </c>
      <c r="B73" s="39">
        <f>SUM(B72)</f>
        <v>0</v>
      </c>
    </row>
    <row r="74" spans="1:2" ht="24" thickTop="1">
      <c r="A74" s="31"/>
      <c r="B74" s="42"/>
    </row>
    <row r="75" spans="1:2" ht="23.25">
      <c r="A75" s="31"/>
      <c r="B75" s="42"/>
    </row>
    <row r="76" spans="1:2" ht="23.25">
      <c r="A76" s="31"/>
      <c r="B76" s="42"/>
    </row>
    <row r="77" spans="1:2" ht="23.25">
      <c r="A77" s="31"/>
      <c r="B77" s="42"/>
    </row>
    <row r="78" spans="1:2" ht="23.25">
      <c r="A78" s="31"/>
      <c r="B78" s="42"/>
    </row>
    <row r="79" spans="1:2" ht="23.25">
      <c r="A79" s="7"/>
      <c r="B79" s="42"/>
    </row>
    <row r="80" spans="1:2" ht="23.25">
      <c r="A80" s="7"/>
      <c r="B80" s="42"/>
    </row>
    <row r="81" spans="1:2" ht="23.25">
      <c r="A81" s="7"/>
      <c r="B81" s="42"/>
    </row>
    <row r="82" spans="1:2" ht="26.25">
      <c r="A82" s="222" t="s">
        <v>93</v>
      </c>
      <c r="B82" s="222"/>
    </row>
    <row r="83" spans="1:2" ht="26.25">
      <c r="A83" s="222" t="s">
        <v>257</v>
      </c>
      <c r="B83" s="222"/>
    </row>
    <row r="84" spans="1:2" ht="26.25">
      <c r="A84" s="222" t="s">
        <v>0</v>
      </c>
      <c r="B84" s="222"/>
    </row>
    <row r="85" spans="1:2" ht="18.75" customHeight="1">
      <c r="A85" s="37"/>
      <c r="B85" s="37"/>
    </row>
    <row r="86" spans="1:2" ht="23.25">
      <c r="A86" s="7" t="s">
        <v>82</v>
      </c>
      <c r="B86" s="20">
        <v>1777.51</v>
      </c>
    </row>
    <row r="87" spans="1:2" ht="23.25">
      <c r="A87" s="7" t="s">
        <v>193</v>
      </c>
      <c r="B87" s="20">
        <v>1006.8</v>
      </c>
    </row>
    <row r="88" spans="1:2" ht="23.25">
      <c r="A88" s="7" t="s">
        <v>210</v>
      </c>
      <c r="B88" s="20">
        <v>11414</v>
      </c>
    </row>
    <row r="89" spans="1:2" ht="23.25">
      <c r="A89" s="7" t="s">
        <v>227</v>
      </c>
      <c r="B89" s="20">
        <v>284095.95</v>
      </c>
    </row>
    <row r="90" spans="1:2" ht="23.25">
      <c r="A90" s="7" t="s">
        <v>260</v>
      </c>
      <c r="B90" s="20">
        <v>680</v>
      </c>
    </row>
    <row r="91" spans="1:2" ht="24" thickBot="1">
      <c r="A91" s="31" t="s">
        <v>3</v>
      </c>
      <c r="B91" s="38">
        <f>SUM(B86:B90)</f>
        <v>298974.26</v>
      </c>
    </row>
    <row r="92" spans="1:2" ht="24" thickTop="1">
      <c r="A92" s="7"/>
      <c r="B92" s="20"/>
    </row>
    <row r="93" spans="1:2" ht="23.25">
      <c r="A93" s="7"/>
      <c r="B93" s="20"/>
    </row>
    <row r="94" spans="1:2" ht="26.25">
      <c r="A94" s="37"/>
      <c r="B94" s="47"/>
    </row>
    <row r="95" spans="1:2" ht="26.25">
      <c r="A95" s="37"/>
      <c r="B95" s="37"/>
    </row>
    <row r="96" spans="1:2" ht="26.25">
      <c r="A96" s="222" t="s">
        <v>94</v>
      </c>
      <c r="B96" s="222"/>
    </row>
    <row r="97" spans="1:2" ht="26.25">
      <c r="A97" s="222" t="s">
        <v>257</v>
      </c>
      <c r="B97" s="222"/>
    </row>
    <row r="98" spans="1:2" ht="26.25">
      <c r="A98" s="222" t="s">
        <v>0</v>
      </c>
      <c r="B98" s="222"/>
    </row>
    <row r="99" spans="1:2" ht="26.25">
      <c r="A99" s="37"/>
      <c r="B99" s="37"/>
    </row>
    <row r="100" spans="1:2" ht="23.25">
      <c r="A100" s="7" t="s">
        <v>82</v>
      </c>
      <c r="B100" s="168">
        <v>582.05</v>
      </c>
    </row>
    <row r="101" spans="1:2" ht="23.25">
      <c r="A101" s="7" t="s">
        <v>193</v>
      </c>
      <c r="B101" s="168">
        <v>1006.8</v>
      </c>
    </row>
    <row r="102" spans="1:2" ht="23.25">
      <c r="A102" s="7" t="s">
        <v>210</v>
      </c>
      <c r="B102" s="168">
        <v>11414</v>
      </c>
    </row>
    <row r="103" spans="1:2" ht="23.25">
      <c r="A103" s="7" t="s">
        <v>236</v>
      </c>
      <c r="B103" s="168">
        <v>6925</v>
      </c>
    </row>
    <row r="104" spans="1:2" ht="23.25">
      <c r="A104" s="7" t="s">
        <v>260</v>
      </c>
      <c r="B104" s="168">
        <v>12721</v>
      </c>
    </row>
    <row r="105" spans="1:2" ht="23.25">
      <c r="A105" s="7" t="s">
        <v>227</v>
      </c>
      <c r="B105" s="168">
        <v>284095.95</v>
      </c>
    </row>
    <row r="106" spans="1:2" ht="24" thickBot="1">
      <c r="A106" s="31" t="s">
        <v>3</v>
      </c>
      <c r="B106" s="38">
        <f>SUM(B100:B105)</f>
        <v>316744.8</v>
      </c>
    </row>
    <row r="107" spans="1:2" ht="24" thickTop="1">
      <c r="A107" s="7"/>
      <c r="B107" s="20"/>
    </row>
    <row r="108" spans="1:2" ht="26.25">
      <c r="A108" s="222"/>
      <c r="B108" s="222"/>
    </row>
    <row r="109" spans="1:2" ht="26.25">
      <c r="A109" s="222"/>
      <c r="B109" s="222"/>
    </row>
    <row r="110" spans="1:2" ht="26.25">
      <c r="A110" s="222"/>
      <c r="B110" s="222"/>
    </row>
    <row r="111" spans="1:2" ht="18.75" customHeight="1">
      <c r="A111" s="37"/>
      <c r="B111" s="37"/>
    </row>
    <row r="112" spans="1:2" ht="23.25">
      <c r="A112" s="7"/>
      <c r="B112" s="20"/>
    </row>
    <row r="113" spans="1:2" ht="23.25">
      <c r="A113" s="20"/>
      <c r="B113" s="45"/>
    </row>
    <row r="114" spans="1:2" ht="23.25">
      <c r="A114" s="7"/>
      <c r="B114" s="20"/>
    </row>
    <row r="115" spans="1:2" ht="23.25">
      <c r="A115" s="7"/>
      <c r="B115" s="20"/>
    </row>
    <row r="116" spans="1:2" ht="23.25">
      <c r="A116" s="7"/>
      <c r="B116" s="20"/>
    </row>
    <row r="117" spans="1:2" ht="23.25">
      <c r="A117" s="7"/>
      <c r="B117" s="20"/>
    </row>
    <row r="118" spans="1:2" ht="23.25">
      <c r="A118" s="7"/>
      <c r="B118" s="20"/>
    </row>
    <row r="119" spans="1:2" ht="23.25">
      <c r="A119" s="7"/>
      <c r="B119" s="20"/>
    </row>
    <row r="120" spans="1:2" ht="23.25">
      <c r="A120" s="7"/>
      <c r="B120" s="20"/>
    </row>
    <row r="121" spans="1:2" ht="23.25">
      <c r="A121" s="7"/>
      <c r="B121" s="20"/>
    </row>
    <row r="122" spans="1:2" ht="23.25">
      <c r="A122" s="7"/>
      <c r="B122" s="20"/>
    </row>
  </sheetData>
  <sheetProtection/>
  <mergeCells count="25">
    <mergeCell ref="A98:B98"/>
    <mergeCell ref="A84:B84"/>
    <mergeCell ref="A43:B43"/>
    <mergeCell ref="A44:B44"/>
    <mergeCell ref="A70:B70"/>
    <mergeCell ref="A83:B83"/>
    <mergeCell ref="A69:B69"/>
    <mergeCell ref="A82:B82"/>
    <mergeCell ref="A68:B68"/>
    <mergeCell ref="A40:B40"/>
    <mergeCell ref="A30:B30"/>
    <mergeCell ref="A29:B29"/>
    <mergeCell ref="A31:B31"/>
    <mergeCell ref="A42:B42"/>
    <mergeCell ref="A110:B110"/>
    <mergeCell ref="A109:B109"/>
    <mergeCell ref="A96:B96"/>
    <mergeCell ref="A97:B97"/>
    <mergeCell ref="A108:B108"/>
    <mergeCell ref="A14:C14"/>
    <mergeCell ref="A15:C15"/>
    <mergeCell ref="A16:C16"/>
    <mergeCell ref="A1:B1"/>
    <mergeCell ref="A2:B2"/>
    <mergeCell ref="A3:B3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22">
      <selection activeCell="G30" sqref="G30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19.5" customHeight="1">
      <c r="D1" s="164" t="s">
        <v>192</v>
      </c>
    </row>
    <row r="2" spans="1:4" ht="20.25" customHeight="1">
      <c r="A2" s="223" t="s">
        <v>119</v>
      </c>
      <c r="B2" s="223"/>
      <c r="C2" s="223"/>
      <c r="D2" s="223"/>
    </row>
    <row r="3" spans="1:4" ht="20.25" customHeight="1">
      <c r="A3" s="223" t="s">
        <v>191</v>
      </c>
      <c r="B3" s="223"/>
      <c r="C3" s="223"/>
      <c r="D3" s="223"/>
    </row>
    <row r="4" spans="1:4" ht="20.25" customHeight="1">
      <c r="A4" s="224" t="s">
        <v>267</v>
      </c>
      <c r="B4" s="224"/>
      <c r="C4" s="224"/>
      <c r="D4" s="224"/>
    </row>
    <row r="5" spans="1:4" ht="25.5" customHeight="1">
      <c r="A5" s="157" t="s">
        <v>5</v>
      </c>
      <c r="B5" s="157" t="s">
        <v>8</v>
      </c>
      <c r="C5" s="157" t="s">
        <v>120</v>
      </c>
      <c r="D5" s="158" t="s">
        <v>121</v>
      </c>
    </row>
    <row r="6" spans="1:4" ht="20.25" customHeight="1">
      <c r="A6" s="63" t="s">
        <v>122</v>
      </c>
      <c r="B6" s="64"/>
      <c r="C6" s="65"/>
      <c r="D6" s="66"/>
    </row>
    <row r="7" spans="1:4" ht="23.25">
      <c r="A7" s="67" t="s">
        <v>123</v>
      </c>
      <c r="B7" s="68" t="s">
        <v>124</v>
      </c>
      <c r="C7" s="69"/>
      <c r="D7" s="70"/>
    </row>
    <row r="8" spans="1:4" ht="23.25">
      <c r="A8" s="71" t="s">
        <v>125</v>
      </c>
      <c r="B8" s="72" t="s">
        <v>126</v>
      </c>
      <c r="C8" s="73">
        <v>165000</v>
      </c>
      <c r="D8" s="76">
        <f>8638+55403.75+52289+10218+6126+1262.5</f>
        <v>133937.25</v>
      </c>
    </row>
    <row r="9" spans="1:4" ht="23.25">
      <c r="A9" s="71" t="s">
        <v>127</v>
      </c>
      <c r="B9" s="72" t="s">
        <v>128</v>
      </c>
      <c r="C9" s="73">
        <v>10000</v>
      </c>
      <c r="D9" s="75">
        <f>226.38+380.54+1536.94+2106.33+922.18+3341.24+73.54</f>
        <v>8587.150000000001</v>
      </c>
    </row>
    <row r="10" spans="1:4" ht="23.25">
      <c r="A10" s="71" t="s">
        <v>129</v>
      </c>
      <c r="B10" s="72" t="s">
        <v>130</v>
      </c>
      <c r="C10" s="73">
        <v>13000</v>
      </c>
      <c r="D10" s="76">
        <f>1240+3010+2400+204+416+464</f>
        <v>7734</v>
      </c>
    </row>
    <row r="11" spans="1:4" ht="24" thickBot="1">
      <c r="A11" s="71" t="s">
        <v>131</v>
      </c>
      <c r="B11" s="77" t="s">
        <v>132</v>
      </c>
      <c r="C11" s="78">
        <v>14600</v>
      </c>
      <c r="D11" s="79">
        <f>1910+850+910+1120+1280+1050+1240+1230+1070</f>
        <v>10660</v>
      </c>
    </row>
    <row r="12" spans="1:4" ht="20.25" customHeight="1" thickBot="1">
      <c r="A12" s="80" t="s">
        <v>48</v>
      </c>
      <c r="B12" s="81"/>
      <c r="C12" s="82">
        <f>C8+C9+C10+C11</f>
        <v>202600</v>
      </c>
      <c r="D12" s="82">
        <f>SUM(D8:D11)</f>
        <v>160918.4</v>
      </c>
    </row>
    <row r="13" spans="1:4" ht="23.25">
      <c r="A13" s="83" t="s">
        <v>133</v>
      </c>
      <c r="B13" s="84" t="s">
        <v>134</v>
      </c>
      <c r="C13" s="70"/>
      <c r="D13" s="85"/>
    </row>
    <row r="14" spans="1:4" ht="22.5" customHeight="1">
      <c r="A14" s="86" t="s">
        <v>135</v>
      </c>
      <c r="B14" s="87" t="s">
        <v>136</v>
      </c>
      <c r="C14" s="76">
        <v>26280</v>
      </c>
      <c r="D14" s="76">
        <f>3408+1530+1638+2016+2250+1890+2232+2214+1926</f>
        <v>19104</v>
      </c>
    </row>
    <row r="15" spans="1:4" ht="22.5" customHeight="1">
      <c r="A15" s="86" t="s">
        <v>137</v>
      </c>
      <c r="B15" s="87" t="s">
        <v>138</v>
      </c>
      <c r="C15" s="76">
        <v>500</v>
      </c>
      <c r="D15" s="76">
        <f>44.5+193.5+119+224.5+193.5+32</f>
        <v>807</v>
      </c>
    </row>
    <row r="16" spans="1:4" ht="22.5" customHeight="1">
      <c r="A16" s="86" t="s">
        <v>139</v>
      </c>
      <c r="B16" s="87" t="s">
        <v>140</v>
      </c>
      <c r="C16" s="74">
        <v>46000</v>
      </c>
      <c r="D16" s="76">
        <f>3760+1220+3350+3830+1520+3990+5720</f>
        <v>23390</v>
      </c>
    </row>
    <row r="17" spans="1:4" ht="22.5" customHeight="1">
      <c r="A17" s="86" t="s">
        <v>141</v>
      </c>
      <c r="B17" s="87" t="s">
        <v>142</v>
      </c>
      <c r="C17" s="74">
        <v>1300</v>
      </c>
      <c r="D17" s="76">
        <f>220+160+40+40+80+70+20+20</f>
        <v>650</v>
      </c>
    </row>
    <row r="18" spans="1:4" ht="22.5" customHeight="1">
      <c r="A18" s="86" t="s">
        <v>143</v>
      </c>
      <c r="B18" s="87"/>
      <c r="C18" s="74">
        <v>500</v>
      </c>
      <c r="D18" s="76">
        <f>50+70</f>
        <v>120</v>
      </c>
    </row>
    <row r="19" spans="1:4" ht="22.5" customHeight="1">
      <c r="A19" s="86" t="s">
        <v>144</v>
      </c>
      <c r="B19" s="87" t="s">
        <v>145</v>
      </c>
      <c r="C19" s="74">
        <v>5000</v>
      </c>
      <c r="D19" s="88">
        <f>5880+62382</f>
        <v>68262</v>
      </c>
    </row>
    <row r="20" spans="1:4" ht="22.5" customHeight="1">
      <c r="A20" s="89" t="s">
        <v>146</v>
      </c>
      <c r="B20" s="72" t="s">
        <v>147</v>
      </c>
      <c r="C20" s="90">
        <v>1500</v>
      </c>
      <c r="D20" s="88">
        <f>900+700+200</f>
        <v>1800</v>
      </c>
    </row>
    <row r="21" spans="1:4" ht="22.5" customHeight="1">
      <c r="A21" s="91" t="s">
        <v>148</v>
      </c>
      <c r="B21" s="87" t="s">
        <v>149</v>
      </c>
      <c r="C21" s="74">
        <v>2000</v>
      </c>
      <c r="D21" s="88">
        <f>1000+300+100</f>
        <v>1400</v>
      </c>
    </row>
    <row r="22" spans="1:4" ht="22.5" customHeight="1">
      <c r="A22" s="91" t="s">
        <v>150</v>
      </c>
      <c r="B22" s="87"/>
      <c r="C22" s="74"/>
      <c r="D22" s="88"/>
    </row>
    <row r="23" spans="1:4" ht="22.5" customHeight="1">
      <c r="A23" s="86" t="s">
        <v>151</v>
      </c>
      <c r="B23" s="87" t="s">
        <v>152</v>
      </c>
      <c r="C23" s="76">
        <v>5000</v>
      </c>
      <c r="D23" s="88">
        <f>2000</f>
        <v>2000</v>
      </c>
    </row>
    <row r="24" spans="1:4" ht="22.5" customHeight="1">
      <c r="A24" s="86" t="s">
        <v>153</v>
      </c>
      <c r="B24" s="72" t="s">
        <v>154</v>
      </c>
      <c r="C24" s="90">
        <v>500</v>
      </c>
      <c r="D24" s="88">
        <f>20+40+50+70+70+20</f>
        <v>270</v>
      </c>
    </row>
    <row r="25" spans="1:4" ht="22.5" customHeight="1" thickBot="1">
      <c r="A25" s="92" t="s">
        <v>155</v>
      </c>
      <c r="B25" s="72" t="s">
        <v>156</v>
      </c>
      <c r="C25" s="90">
        <v>500</v>
      </c>
      <c r="D25" s="88">
        <v>0</v>
      </c>
    </row>
    <row r="26" spans="1:4" ht="21" customHeight="1" thickBot="1">
      <c r="A26" s="93" t="s">
        <v>48</v>
      </c>
      <c r="B26" s="81"/>
      <c r="C26" s="82">
        <f>SUM(C14:C25)</f>
        <v>89080</v>
      </c>
      <c r="D26" s="94">
        <f>SUM(D14:D25)</f>
        <v>117803</v>
      </c>
    </row>
    <row r="27" spans="1:4" ht="21.75" customHeight="1">
      <c r="A27" s="67" t="s">
        <v>157</v>
      </c>
      <c r="B27" s="95" t="s">
        <v>158</v>
      </c>
      <c r="C27" s="65"/>
      <c r="D27" s="66"/>
    </row>
    <row r="28" spans="1:4" ht="22.5" customHeight="1">
      <c r="A28" s="71" t="s">
        <v>159</v>
      </c>
      <c r="B28" s="72" t="s">
        <v>160</v>
      </c>
      <c r="C28" s="73">
        <v>400000</v>
      </c>
      <c r="D28" s="88">
        <f>9312.32+118819.57+125057.66+7568.12</f>
        <v>260757.67</v>
      </c>
    </row>
    <row r="29" spans="1:4" ht="22.5" customHeight="1">
      <c r="A29" s="71" t="s">
        <v>161</v>
      </c>
      <c r="B29" s="77" t="s">
        <v>160</v>
      </c>
      <c r="C29" s="78">
        <v>0</v>
      </c>
      <c r="D29" s="96"/>
    </row>
    <row r="30" spans="1:4" ht="22.5" customHeight="1" thickBot="1">
      <c r="A30" s="71" t="s">
        <v>228</v>
      </c>
      <c r="B30" s="77" t="s">
        <v>160</v>
      </c>
      <c r="C30" s="78">
        <v>36000</v>
      </c>
      <c r="D30" s="96">
        <f>6000+3000+6000+3000+3000+3000</f>
        <v>24000</v>
      </c>
    </row>
    <row r="31" spans="1:4" ht="21.75" customHeight="1" thickBot="1">
      <c r="A31" s="97" t="s">
        <v>48</v>
      </c>
      <c r="B31" s="98"/>
      <c r="C31" s="99">
        <f>SUM(C28:C30)</f>
        <v>436000</v>
      </c>
      <c r="D31" s="100">
        <f>SUM(D28:D30)</f>
        <v>284757.67000000004</v>
      </c>
    </row>
    <row r="32" spans="1:4" ht="20.25" customHeight="1">
      <c r="A32" s="101" t="s">
        <v>162</v>
      </c>
      <c r="B32" s="102" t="s">
        <v>163</v>
      </c>
      <c r="C32" s="103"/>
      <c r="D32" s="104"/>
    </row>
    <row r="33" spans="1:4" ht="23.25">
      <c r="A33" s="105" t="s">
        <v>164</v>
      </c>
      <c r="B33" s="106" t="s">
        <v>165</v>
      </c>
      <c r="C33" s="107">
        <v>20000</v>
      </c>
      <c r="D33" s="88">
        <v>0</v>
      </c>
    </row>
    <row r="34" spans="1:4" ht="23.25">
      <c r="A34" s="86" t="s">
        <v>166</v>
      </c>
      <c r="B34" s="108" t="s">
        <v>167</v>
      </c>
      <c r="C34" s="74">
        <v>2000</v>
      </c>
      <c r="D34" s="109">
        <f>208+76+130+120+198+94+188+198+116</f>
        <v>1328</v>
      </c>
    </row>
    <row r="35" spans="1:4" ht="24" thickBot="1">
      <c r="A35" s="86" t="s">
        <v>168</v>
      </c>
      <c r="B35" s="110" t="s">
        <v>169</v>
      </c>
      <c r="C35" s="111">
        <v>30000</v>
      </c>
      <c r="D35" s="112">
        <f>1300+110+210+40+1530+870+3630+3920+3510</f>
        <v>15120</v>
      </c>
    </row>
    <row r="36" spans="1:4" ht="21" customHeight="1" thickBot="1">
      <c r="A36" s="80" t="s">
        <v>48</v>
      </c>
      <c r="B36" s="113"/>
      <c r="C36" s="114">
        <f>SUM(C33:C35)</f>
        <v>52000</v>
      </c>
      <c r="D36" s="115">
        <f>SUM(D33:D35)</f>
        <v>16448</v>
      </c>
    </row>
    <row r="37" spans="1:4" ht="23.25">
      <c r="A37" s="116" t="s">
        <v>170</v>
      </c>
      <c r="B37" s="117"/>
      <c r="C37" s="70"/>
      <c r="D37" s="85"/>
    </row>
    <row r="38" spans="1:4" ht="23.25">
      <c r="A38" s="83" t="s">
        <v>171</v>
      </c>
      <c r="B38" s="117">
        <v>420000</v>
      </c>
      <c r="C38" s="70"/>
      <c r="D38" s="118"/>
    </row>
    <row r="39" spans="1:4" ht="23.25">
      <c r="A39" s="86" t="s">
        <v>172</v>
      </c>
      <c r="B39" s="119">
        <v>421002</v>
      </c>
      <c r="C39" s="74">
        <v>14000000</v>
      </c>
      <c r="D39" s="120">
        <f>2124785.01+1052429.99+2056598.48+1113632.47+1200541.28+2120179.23</f>
        <v>9668166.46</v>
      </c>
    </row>
    <row r="40" spans="1:4" ht="23.25">
      <c r="A40" s="86" t="s">
        <v>173</v>
      </c>
      <c r="B40" s="119">
        <v>421003</v>
      </c>
      <c r="C40" s="74">
        <v>600000</v>
      </c>
      <c r="D40" s="120">
        <f>26479.46+54480.02+70151.61+208447.83+125301.64+76190.63+54820.71</f>
        <v>615871.8999999999</v>
      </c>
    </row>
    <row r="41" spans="1:4" ht="23.25">
      <c r="A41" s="86" t="s">
        <v>174</v>
      </c>
      <c r="B41" s="119">
        <v>421005</v>
      </c>
      <c r="C41" s="74">
        <v>40000</v>
      </c>
      <c r="D41" s="120">
        <f>7364.61+13016.52</f>
        <v>20381.13</v>
      </c>
    </row>
    <row r="42" spans="1:4" ht="23.25">
      <c r="A42" s="86" t="s">
        <v>175</v>
      </c>
      <c r="B42" s="119">
        <v>421006</v>
      </c>
      <c r="C42" s="74">
        <v>400000</v>
      </c>
      <c r="D42" s="120">
        <f>25268.06+29275.09+41851.72+92917.97+74414.21+29916.65+34508.93</f>
        <v>328152.63</v>
      </c>
    </row>
    <row r="43" spans="1:4" ht="23.25">
      <c r="A43" s="121" t="s">
        <v>176</v>
      </c>
      <c r="B43" s="119">
        <v>421007</v>
      </c>
      <c r="C43" s="74">
        <v>700000</v>
      </c>
      <c r="D43" s="120">
        <f>62321.98+68178.36+155.2+87183.86+235900.83+175349.55+80583.37+90571.58</f>
        <v>800244.73</v>
      </c>
    </row>
    <row r="44" spans="1:4" ht="23.25">
      <c r="A44" s="105" t="s">
        <v>177</v>
      </c>
      <c r="B44" s="119">
        <v>421012</v>
      </c>
      <c r="C44" s="74">
        <v>30000</v>
      </c>
      <c r="D44" s="122">
        <f>9206.85+9123.91+9197.96</f>
        <v>27528.72</v>
      </c>
    </row>
    <row r="45" spans="1:4" ht="23.25">
      <c r="A45" s="86" t="s">
        <v>178</v>
      </c>
      <c r="B45" s="119">
        <v>421013</v>
      </c>
      <c r="C45" s="74">
        <v>30000</v>
      </c>
      <c r="D45" s="120">
        <f>2765.21+2822.12+3211.35+3459.82</f>
        <v>12258.5</v>
      </c>
    </row>
    <row r="46" spans="1:4" ht="24" thickBot="1">
      <c r="A46" s="91" t="s">
        <v>179</v>
      </c>
      <c r="B46" s="123">
        <v>421015</v>
      </c>
      <c r="C46" s="124">
        <v>200000</v>
      </c>
      <c r="D46" s="120">
        <f>106434+54290+3932+23753+173921+9240</f>
        <v>371570</v>
      </c>
    </row>
    <row r="47" spans="1:4" ht="24" thickBot="1">
      <c r="A47" s="80" t="s">
        <v>48</v>
      </c>
      <c r="B47" s="125"/>
      <c r="C47" s="126">
        <f>SUM(C39:C46)</f>
        <v>16000000</v>
      </c>
      <c r="D47" s="100">
        <f>SUM(D39:D46)</f>
        <v>11844174.070000004</v>
      </c>
    </row>
    <row r="48" spans="1:4" ht="21" customHeight="1">
      <c r="A48" s="127" t="s">
        <v>170</v>
      </c>
      <c r="B48" s="128"/>
      <c r="C48" s="129"/>
      <c r="D48" s="130"/>
    </row>
    <row r="49" spans="1:4" ht="21" customHeight="1">
      <c r="A49" s="131" t="s">
        <v>180</v>
      </c>
      <c r="B49" s="132">
        <v>430000</v>
      </c>
      <c r="C49" s="133"/>
      <c r="D49" s="134"/>
    </row>
    <row r="50" spans="1:4" ht="21" customHeight="1" thickBot="1">
      <c r="A50" s="135" t="s">
        <v>181</v>
      </c>
      <c r="B50" s="136">
        <v>431002</v>
      </c>
      <c r="C50" s="137">
        <v>13700000</v>
      </c>
      <c r="D50" s="120">
        <f>2914242+2914242+263006</f>
        <v>6091490</v>
      </c>
    </row>
    <row r="51" spans="1:4" ht="24" thickBot="1">
      <c r="A51" s="93" t="s">
        <v>48</v>
      </c>
      <c r="B51" s="138"/>
      <c r="C51" s="99">
        <f>SUM(C50)</f>
        <v>13700000</v>
      </c>
      <c r="D51" s="100">
        <f>SUM(D50)</f>
        <v>6091490</v>
      </c>
    </row>
    <row r="52" spans="1:4" ht="21.75" customHeight="1">
      <c r="A52" s="139" t="s">
        <v>182</v>
      </c>
      <c r="B52" s="140"/>
      <c r="C52" s="141"/>
      <c r="D52" s="142"/>
    </row>
    <row r="53" spans="1:4" ht="21.75" customHeight="1">
      <c r="A53" s="143" t="s">
        <v>183</v>
      </c>
      <c r="B53" s="132">
        <v>440000</v>
      </c>
      <c r="C53" s="137"/>
      <c r="D53" s="144"/>
    </row>
    <row r="54" spans="1:4" ht="21.75" customHeight="1">
      <c r="A54" s="145" t="s">
        <v>184</v>
      </c>
      <c r="B54" s="146"/>
      <c r="C54" s="134"/>
      <c r="D54" s="120">
        <f>528700+528700+528700+528700</f>
        <v>2114800</v>
      </c>
    </row>
    <row r="55" spans="1:4" ht="21.75" customHeight="1">
      <c r="A55" s="147" t="s">
        <v>185</v>
      </c>
      <c r="B55" s="146"/>
      <c r="C55" s="134"/>
      <c r="D55" s="120">
        <f>211200+211200+211200+211200</f>
        <v>844800</v>
      </c>
    </row>
    <row r="56" spans="1:4" ht="21.75" customHeight="1">
      <c r="A56" s="147" t="s">
        <v>186</v>
      </c>
      <c r="B56" s="148"/>
      <c r="C56" s="160"/>
      <c r="D56" s="120">
        <f>101049+77606+87655</f>
        <v>266310</v>
      </c>
    </row>
    <row r="57" spans="1:4" ht="21.75" customHeight="1">
      <c r="A57" s="147" t="s">
        <v>229</v>
      </c>
      <c r="B57" s="148"/>
      <c r="C57" s="160"/>
      <c r="D57" s="120">
        <f>156630+144240+150600+150150</f>
        <v>601620</v>
      </c>
    </row>
    <row r="58" spans="1:4" ht="21.75" customHeight="1">
      <c r="A58" s="147" t="s">
        <v>230</v>
      </c>
      <c r="B58" s="148"/>
      <c r="C58" s="160"/>
      <c r="D58" s="120">
        <f>173657+185400+208240</f>
        <v>567297</v>
      </c>
    </row>
    <row r="59" spans="1:4" ht="21.75" customHeight="1">
      <c r="A59" s="147" t="s">
        <v>231</v>
      </c>
      <c r="B59" s="148"/>
      <c r="C59" s="160"/>
      <c r="D59" s="120">
        <f>41000</f>
        <v>41000</v>
      </c>
    </row>
    <row r="60" spans="1:4" ht="21.75" customHeight="1">
      <c r="A60" s="147" t="s">
        <v>232</v>
      </c>
      <c r="B60" s="148"/>
      <c r="C60" s="160"/>
      <c r="D60" s="120">
        <f>231200+32300</f>
        <v>263500</v>
      </c>
    </row>
    <row r="61" spans="1:4" ht="21.75" customHeight="1">
      <c r="A61" s="147" t="s">
        <v>243</v>
      </c>
      <c r="B61" s="148"/>
      <c r="C61" s="160"/>
      <c r="D61" s="120">
        <f>8170+8170</f>
        <v>16340</v>
      </c>
    </row>
    <row r="62" spans="1:4" ht="21.75" customHeight="1">
      <c r="A62" s="147" t="s">
        <v>237</v>
      </c>
      <c r="B62" s="148"/>
      <c r="C62" s="160"/>
      <c r="D62" s="120">
        <f>3800+3800</f>
        <v>7600</v>
      </c>
    </row>
    <row r="63" spans="1:4" ht="21.75" customHeight="1">
      <c r="A63" s="147" t="s">
        <v>238</v>
      </c>
      <c r="B63" s="148"/>
      <c r="C63" s="160"/>
      <c r="D63" s="120">
        <f>6000+6000+6000+6000</f>
        <v>24000</v>
      </c>
    </row>
    <row r="64" spans="1:4" ht="21.75" customHeight="1">
      <c r="A64" s="147" t="s">
        <v>241</v>
      </c>
      <c r="B64" s="148"/>
      <c r="C64" s="160"/>
      <c r="D64" s="120">
        <f>11400</f>
        <v>11400</v>
      </c>
    </row>
    <row r="65" spans="1:4" ht="21.75" customHeight="1">
      <c r="A65" s="147" t="s">
        <v>242</v>
      </c>
      <c r="B65" s="148"/>
      <c r="C65" s="160"/>
      <c r="D65" s="120">
        <v>7600</v>
      </c>
    </row>
    <row r="66" spans="1:4" ht="21.75" customHeight="1" thickBot="1">
      <c r="A66" s="147" t="s">
        <v>244</v>
      </c>
      <c r="B66" s="148"/>
      <c r="C66" s="160"/>
      <c r="D66" s="120">
        <f>123450+123450+126946.5</f>
        <v>373846.5</v>
      </c>
    </row>
    <row r="67" spans="1:4" ht="22.5" customHeight="1" thickBot="1">
      <c r="A67" s="149" t="s">
        <v>48</v>
      </c>
      <c r="B67" s="138"/>
      <c r="C67" s="126"/>
      <c r="D67" s="115">
        <f>SUM(D54:D66)</f>
        <v>5140113.5</v>
      </c>
    </row>
    <row r="68" spans="1:4" ht="19.5" customHeight="1">
      <c r="A68" s="150" t="s">
        <v>187</v>
      </c>
      <c r="B68" s="140"/>
      <c r="C68" s="161"/>
      <c r="D68" s="159"/>
    </row>
    <row r="69" spans="1:4" ht="19.5" customHeight="1">
      <c r="A69" s="151" t="s">
        <v>188</v>
      </c>
      <c r="B69" s="70"/>
      <c r="C69" s="162"/>
      <c r="D69" s="120">
        <v>0</v>
      </c>
    </row>
    <row r="70" spans="1:4" ht="19.5" customHeight="1" thickBot="1">
      <c r="A70" s="151" t="s">
        <v>189</v>
      </c>
      <c r="B70" s="148"/>
      <c r="C70" s="163"/>
      <c r="D70" s="120">
        <v>0</v>
      </c>
    </row>
    <row r="71" spans="1:4" ht="19.5" customHeight="1" thickBot="1">
      <c r="A71" s="152" t="s">
        <v>48</v>
      </c>
      <c r="B71" s="138"/>
      <c r="C71" s="99"/>
      <c r="D71" s="100">
        <f>SUM(D69:D70)</f>
        <v>0</v>
      </c>
    </row>
    <row r="72" spans="1:4" ht="24" thickBot="1">
      <c r="A72" s="153" t="s">
        <v>190</v>
      </c>
      <c r="B72" s="154"/>
      <c r="C72" s="155">
        <f>C12+C26+C31+C36+C47+C51+C67+C71</f>
        <v>30479680</v>
      </c>
      <c r="D72" s="156">
        <f>D12+D26+D31+D36+D47+D51+D67+D71</f>
        <v>23655704.640000004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2017-08-21T04:25:46Z</cp:lastPrinted>
  <dcterms:created xsi:type="dcterms:W3CDTF">2003-11-30T04:11:06Z</dcterms:created>
  <dcterms:modified xsi:type="dcterms:W3CDTF">2018-05-17T03:44:33Z</dcterms:modified>
  <cp:category/>
  <cp:version/>
  <cp:contentType/>
  <cp:contentStatus/>
</cp:coreProperties>
</file>