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1"/>
  </bookViews>
  <sheets>
    <sheet name="งบทดลอง" sheetId="1" r:id="rId1"/>
    <sheet name="รายงานรับ-จ่ายเงินสด " sheetId="2" r:id="rId2"/>
    <sheet name="หมายเหตุ" sheetId="3" r:id="rId3"/>
    <sheet name="สรุปรายรับจริ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<sst xmlns="http://schemas.openxmlformats.org/spreadsheetml/2006/main" count="382" uniqueCount="316">
  <si>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</si>
  <si>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</si>
  <si>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</si>
  <si>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</si>
  <si>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</si>
  <si>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</si>
  <si>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</si>
  <si>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</si>
  <si>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</si>
  <si>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</si>
  <si>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</si>
  <si>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</si>
  <si>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</si>
  <si>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</si>
  <si>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</si>
  <si>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</si>
  <si>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</si>
  <si>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</si>
  <si>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</si>
  <si>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</si>
  <si>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</si>
  <si>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</si>
  <si>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</si>
  <si>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</si>
  <si>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</si>
  <si>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</si>
  <si>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</si>
  <si>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</si>
  <si>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</si>
  <si>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</si>
  <si>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</si>
  <si>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</si>
  <si>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</si>
  <si>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</si>
  <si>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</si>
  <si>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</si>
  <si>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</si>
  <si>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</si>
  <si>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</si>
  <si>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</si>
  <si>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</si>
  <si>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</si>
  <si>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</si>
  <si>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</si>
  <si>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</si>
  <si>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</si>
  <si>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</si>
  <si>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</si>
  <si>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</si>
  <si>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</si>
  <si>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</si>
  <si>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</si>
  <si>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</si>
  <si>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</si>
  <si>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</si>
  <si>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</si>
  <si>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</si>
  <si>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</si>
  <si>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</si>
  <si>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</si>
  <si>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</si>
  <si>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</si>
  <si>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</si>
  <si>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</si>
  <si>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</si>
  <si>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</si>
  <si>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</si>
  <si>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</si>
  <si>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</si>
  <si>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</si>
  <si>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</si>
  <si>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>หมายเหตุ  1  ประกอบงบทดลอง</t>
  </si>
  <si>
    <t>บัญชีรายจ่ายค้างจ่าย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</si>
  <si>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</si>
  <si>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</si>
  <si>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</si>
  <si>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</si>
  <si>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</si>
  <si>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</si>
  <si>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</si>
  <si>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</si>
  <si>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</si>
  <si>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</si>
  <si>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</si>
  <si>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</si>
  <si>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</si>
  <si>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</si>
  <si>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</si>
  <si>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</si>
  <si>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</si>
  <si>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</si>
  <si>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</si>
  <si>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</si>
  <si>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</si>
  <si>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</si>
  <si>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</si>
  <si>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</si>
  <si>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</si>
  <si>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</si>
  <si>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</si>
  <si>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</si>
  <si>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</si>
  <si>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</si>
  <si>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</si>
  <si>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</si>
  <si>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</si>
  <si>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</si>
  <si>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</si>
  <si>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</si>
  <si>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</si>
  <si>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</si>
  <si>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</si>
  <si>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</si>
  <si>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</si>
  <si>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</si>
  <si>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</si>
  <si>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</si>
  <si>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</si>
  <si>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</si>
  <si>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</si>
  <si>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</si>
  <si>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</si>
  <si>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</si>
  <si>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</si>
  <si>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</si>
  <si>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</si>
  <si>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</si>
  <si>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</si>
  <si>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</si>
  <si>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</si>
  <si>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</si>
  <si>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</si>
  <si>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</si>
  <si>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</si>
  <si>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</si>
  <si>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</si>
  <si>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</si>
  <si>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</si>
  <si>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</si>
  <si>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</si>
  <si>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</si>
  <si>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</si>
  <si>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412210</t>
  </si>
  <si>
    <t>412303</t>
  </si>
  <si>
    <t>412304</t>
  </si>
  <si>
    <t xml:space="preserve">      อาหารในครัว  หรือพื้นที่ใด  ซึ่งมีพื้นที่เกิน  200  ตารางเมตร</t>
  </si>
  <si>
    <t>412306</t>
  </si>
  <si>
    <t>412307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</si>
  <si>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</si>
  <si>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</si>
  <si>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</si>
  <si>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</si>
  <si>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</si>
  <si>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</si>
  <si>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</si>
  <si>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</si>
  <si>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</si>
  <si>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</si>
  <si>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</si>
  <si>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</si>
  <si>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</si>
  <si>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</si>
  <si>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</si>
  <si>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</si>
  <si>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</si>
  <si>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</si>
  <si>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</si>
  <si>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</si>
  <si>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</si>
  <si>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</si>
  <si>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</si>
  <si>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</si>
  <si>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</si>
  <si>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</si>
  <si>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</si>
  <si>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</si>
  <si>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</si>
  <si>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</si>
  <si>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</si>
  <si>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</si>
  <si>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</si>
  <si>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</si>
  <si>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</si>
  <si>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</si>
  <si>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</si>
  <si>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</si>
  <si>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</si>
  <si>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</si>
  <si>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</si>
  <si>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</si>
  <si>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- 2 -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</si>
  <si>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</si>
  <si>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</si>
  <si>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เงินรับฝาก (หมายเหตุ  4)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</si>
  <si>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</si>
  <si>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</si>
  <si>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</si>
  <si>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</si>
  <si>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</si>
  <si>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</si>
  <si>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</si>
  <si>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</si>
  <si>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</si>
  <si>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>เงินรับฝาก - ประกันสังคม</t>
  </si>
  <si>
    <t xml:space="preserve">           จัดซื้อรถบรรทุกขยะแบบอัดท้าย 6 ล้อ</t>
  </si>
  <si>
    <t>หัก</t>
  </si>
  <si>
    <t>คงเหลือ</t>
  </si>
  <si>
    <t>ธนาคารเพื่อการเกษตรฯ เลขที่บัญชี (31000047246)</t>
  </si>
  <si>
    <t xml:space="preserve">             ลูกหนี้ภาษี-ภาษีบำรุงท้องที่  ยกมา  ณ  วันที่  31  ตุลาคม  2558</t>
  </si>
  <si>
    <t xml:space="preserve">         ปี 2558</t>
  </si>
  <si>
    <t xml:space="preserve">           จัดซื้อเครื่องคอมพิวเตอร์โน๊ตบุ๊ค</t>
  </si>
  <si>
    <t xml:space="preserve">           จัดซื้อเครื่องคอมพิวเตอร์ตั้งโต๊ะ</t>
  </si>
  <si>
    <t xml:space="preserve">            โครงการติดตั้งกล้อง cctv จุดเสี่ยงภายในเขตเทศบาลตำบลบางจาก</t>
  </si>
  <si>
    <t xml:space="preserve">            โครงการจัดซื้อหัวฉีดน้ำดับเพลิงแบบด้ามปืน</t>
  </si>
  <si>
    <t xml:space="preserve">            จัดซื้อเก้าอี้เอนกประสงค์ขาชุบโครเมี่ยม</t>
  </si>
  <si>
    <t xml:space="preserve">            จัดซื้อชั้นวางหนังสือ</t>
  </si>
  <si>
    <t xml:space="preserve">            จัดซื้อโต๊ะพับประชุมโฟเมก้า</t>
  </si>
  <si>
    <t xml:space="preserve">            จัดซื้อพัดลมติดผนัง</t>
  </si>
  <si>
    <t xml:space="preserve">            จัดซื้อรถตู้รับ - ส่งนักเรียน</t>
  </si>
  <si>
    <t xml:space="preserve">            โครงการก่อสร้างอาคารศูนย์พัฒนาเด็กเล็ก</t>
  </si>
  <si>
    <t xml:space="preserve">            โครงการก่อสร้างถนน คสล.พร้อมท่อระบายน้ำบ้านนางเลื่อน</t>
  </si>
  <si>
    <t xml:space="preserve">            โครงการฝังท่อระบายน้ำถนนสุขเกษม 1</t>
  </si>
  <si>
    <t xml:space="preserve">          ประกันสังคม</t>
  </si>
  <si>
    <t>ปีงบประมาณ  2559</t>
  </si>
  <si>
    <t>รายได้ค้างรับ</t>
  </si>
  <si>
    <t xml:space="preserve">   ลูกหนี้เงินยืมเงินสะสม</t>
  </si>
  <si>
    <t>รายจ่ายค้างจ่าย</t>
  </si>
  <si>
    <t>4.  เงินอุดหนุนอาหารกลางวัน</t>
  </si>
  <si>
    <t>5. เงินอุดหนุนโครงการถ่ายโอนบุคลากร</t>
  </si>
  <si>
    <t>6.  เงินอุดหนุนค่าตอบแทน ศพด.</t>
  </si>
  <si>
    <t>7.  เงินอุดหนุนส่งเสริมศักยภาพการจัดการศึกษา</t>
  </si>
  <si>
    <t>8.  เงินอุดหนุนค่าจัดการเรียนการสอน (ศพด.)</t>
  </si>
  <si>
    <t>9.  เงินอุดหนุน การบริการสาธารณสุข</t>
  </si>
  <si>
    <t>10.  เงินอุดหนุน เบี้ยยังชีพผู้ป่วยเอดส์</t>
  </si>
  <si>
    <r>
      <t xml:space="preserve">         </t>
    </r>
    <r>
      <rPr>
        <sz val="16"/>
        <rFont val="Angsana New"/>
        <family val="1"/>
      </rPr>
      <t xml:space="preserve"> บัญชีค่าอากรฆ่าสัตว์</t>
    </r>
  </si>
  <si>
    <t xml:space="preserve">         บัญชีค่าธรรมเนียมทะเบียนราษฎร์</t>
  </si>
  <si>
    <t xml:space="preserve">        บัญชีรายได้เบ็ดเตล็ดอื่น ๆ</t>
  </si>
  <si>
    <t xml:space="preserve">        บัญชีสรรพสามิต</t>
  </si>
  <si>
    <t>บัญชีเงินสด</t>
  </si>
  <si>
    <t xml:space="preserve">          กบข.</t>
  </si>
  <si>
    <t>(3) รายได้จากทรัพย์สินอื่น  ๆ (ค่าเช่าตู้ ATM)</t>
  </si>
  <si>
    <t>เงินรับฝาก - คชจ.5%</t>
  </si>
  <si>
    <t>เงินรับฝาก - ค่าใช้จ่ายอื่น ๆ</t>
  </si>
  <si>
    <t>เงินรับฝาก - ค่าใช้จ่ายอื่นๆ</t>
  </si>
  <si>
    <r>
      <t xml:space="preserve">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เดือน มีนาคม 2559</t>
    </r>
  </si>
  <si>
    <t xml:space="preserve">        บัญชีภาษีมุลค่าเพิ่ม 1/9</t>
  </si>
  <si>
    <t xml:space="preserve">        บัญชีสุรา</t>
  </si>
  <si>
    <t>เงินเดือน (ฝ่ายประจำ)</t>
  </si>
  <si>
    <t>ค่าใช้สอย</t>
  </si>
  <si>
    <r>
      <t xml:space="preserve">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เดือน เมษายน  2559</t>
    </r>
  </si>
  <si>
    <t xml:space="preserve">         บัญชีรายได้จากทรัพย์สิน</t>
  </si>
  <si>
    <t xml:space="preserve">            ลูกหนี้ภาษีบำรุงท้องที่</t>
  </si>
  <si>
    <t>งบกลาง (ก)</t>
  </si>
  <si>
    <r>
      <t xml:space="preserve">   </t>
    </r>
    <r>
      <rPr>
        <b/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  ลูกหนี้ภาษี-ภาษีบำรุงท้องที่  เดือน  พฤษภาคม  2559</t>
    </r>
  </si>
  <si>
    <t xml:space="preserve">         บัญชีค่าจำหน่ายแบบพิมพ์และคำร้อง</t>
  </si>
  <si>
    <t>เงินรับฝาก - ประกันสัญญา</t>
  </si>
  <si>
    <t>10201607</t>
  </si>
  <si>
    <t>10201624</t>
  </si>
  <si>
    <t>กองทุนหลักประกันสุขภาพ ทต.บางจาก</t>
  </si>
  <si>
    <t>11  ก.ค. 59</t>
  </si>
  <si>
    <t xml:space="preserve">         บัญชีค่าธรรมเนียมควบคุมอาคาร</t>
  </si>
  <si>
    <t xml:space="preserve">         บัญชีค่าใบอนุญาตเกี่ยวกับการควบคุมอาคาร</t>
  </si>
  <si>
    <t xml:space="preserve">         บัญชีดอกเบี้ย</t>
  </si>
  <si>
    <t xml:space="preserve">        บัญชีภาษีมุลค่าเพิ่ม  พรบ.</t>
  </si>
  <si>
    <t xml:space="preserve">        บัญชีค่าธรรมเนียมนิติกรรมจดทะเบียนสิทธิและนิติกรรมที่ดิน</t>
  </si>
  <si>
    <t>ณ  วันที่  31  สิงหาคม    2559</t>
  </si>
  <si>
    <t>(6) ค่าธรรมเนียมรถยนต์</t>
  </si>
  <si>
    <t>(7)  ค่าปรับผิดสัญญา</t>
  </si>
  <si>
    <t>(8)  ค่าใบอนุญาตประกอบการค้าสำหรับกิจการที่เป็นอันตรายฯ</t>
  </si>
  <si>
    <t>(9)  ค่าใบอนุญาตจัดตั้งสถานที่จำหน่ายอาหารหรือสถานที่สะสม</t>
  </si>
  <si>
    <t>(10)  ค่าใบอนุญาตให้ตั้งตลาดเอกชน</t>
  </si>
  <si>
    <t>(11) ค่าใบอนุญาตเกี่ยวกับการควบคุมอาคาร</t>
  </si>
  <si>
    <t>(12)  ค่าใบอนุญาตเกี่ยวกับการโฆษณาโดยใช้เครื่องขยายเสียง</t>
  </si>
  <si>
    <t>ณ  วันที่  31  สิงหาคม  2559</t>
  </si>
  <si>
    <t>ณ  วันที่  31  สิงหาคม   2559</t>
  </si>
  <si>
    <t>(696,841.88)</t>
  </si>
  <si>
    <t>(1,220,457.73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</si>
  <si>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สิงหาคม   พ.ศ. 2559</t>
    </r>
  </si>
  <si>
    <t>ยอดคงเหลือตามรายงานธนาคาร   ณ   วันที่   31  สิงหาคม  2559</t>
  </si>
  <si>
    <t>31  ส.ค. 59</t>
  </si>
  <si>
    <t>10201689</t>
  </si>
  <si>
    <t>ประปาเทศบาลตำบลบางจาก</t>
  </si>
  <si>
    <t>นางจันติมา  ห่อหุ้ม</t>
  </si>
  <si>
    <t>10201690</t>
  </si>
  <si>
    <t>10201691</t>
  </si>
  <si>
    <t>10201692</t>
  </si>
  <si>
    <t>10201693</t>
  </si>
  <si>
    <t>ร้านดอกไม้ฉลองนคร</t>
  </si>
  <si>
    <t>หจก.จิมมี่นคร</t>
  </si>
  <si>
    <t>นางยุวดี  ฤทธิแก้ว</t>
  </si>
  <si>
    <t>ร้านก๊อปปริ้นติ่ง</t>
  </si>
  <si>
    <t>10201694</t>
  </si>
  <si>
    <t>10201695</t>
  </si>
  <si>
    <t>10201696</t>
  </si>
  <si>
    <t>เงินทุนส่งเสริมกิจการเทศบาล</t>
  </si>
  <si>
    <t>บ.ทีโอที จก.</t>
  </si>
  <si>
    <t>บ.กสท.โทรคมนาคม จก.</t>
  </si>
  <si>
    <t>นายโสภิต   ชูพงศ์</t>
  </si>
  <si>
    <t>10201697</t>
  </si>
  <si>
    <t>10201698</t>
  </si>
  <si>
    <t>เงินรายได้ซึ่งเทศบาลยังไม่ลงรับ   ส.ค.. 59</t>
  </si>
  <si>
    <t>ยอดคงเหลือตามบัญชี ณ วันที่    31  สิงหาคม   2559</t>
  </si>
  <si>
    <t>ลงชื่อ..........................................วันที่   31 ส..ค. 59</t>
  </si>
  <si>
    <t>ลงชื่อ..........................................วันที่   31  ส..ค. 59</t>
  </si>
  <si>
    <t xml:space="preserve">          บัญชีภาษีโรงเรือนและที่ดิน</t>
  </si>
  <si>
    <t xml:space="preserve">          บัญชีภาษีบำรุงท้องที่</t>
  </si>
  <si>
    <t xml:space="preserve">         บัญชีค่าธรรมเนียมทะเบียนพาณิชย์</t>
  </si>
  <si>
    <t xml:space="preserve">         บัญชีค่าธรรมเนียมรถยนต์</t>
  </si>
  <si>
    <t xml:space="preserve">         บัญชีค่าใบอนุญาตที่เป็นอันตรายต่อสุขภาพ</t>
  </si>
  <si>
    <t xml:space="preserve">         บัญชีค่าขายแบบแปลน</t>
  </si>
  <si>
    <t xml:space="preserve">        บัญชีค่าภาคหลวงแร่</t>
  </si>
  <si>
    <t xml:space="preserve">        บัญชีค่าภาคหลวงปิโตรเลี่ยม</t>
  </si>
  <si>
    <t xml:space="preserve">       บัญชีเงินอุดหนุนระบุวัตถุประสงค์-พิการ</t>
  </si>
  <si>
    <t xml:space="preserve">          เงินประกันซอง</t>
  </si>
  <si>
    <t>เงินรับฝาก - ประกันซอง</t>
  </si>
  <si>
    <t>เงินพัฒนางานสาธารณสุขชุมชนชลประทาน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</si>
</sst>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0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b/>
      <sz val="16"/>
      <color indexed="10"/>
      <name val="Angsana New"/>
      <family val="1"/>
    </font>
    <font>
      <u val="singleAccounting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2" fillId="0" borderId="15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43" fontId="3" fillId="0" borderId="18" xfId="38" applyFont="1" applyBorder="1" applyAlignment="1">
      <alignment horizontal="center"/>
    </xf>
    <xf numFmtId="0" fontId="2" fillId="0" borderId="19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1" fillId="0" borderId="0" xfId="38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3" fillId="0" borderId="22" xfId="0" applyFont="1" applyBorder="1" applyAlignment="1" quotePrefix="1">
      <alignment horizontal="center"/>
    </xf>
    <xf numFmtId="200" fontId="3" fillId="0" borderId="23" xfId="38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8" fillId="0" borderId="26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9" xfId="0" applyFont="1" applyFill="1" applyBorder="1" applyAlignment="1">
      <alignment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right"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3" fontId="3" fillId="0" borderId="31" xfId="38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49" fontId="3" fillId="0" borderId="33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43" fontId="3" fillId="0" borderId="29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3" fontId="3" fillId="0" borderId="31" xfId="38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49" fontId="3" fillId="0" borderId="37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9" fontId="4" fillId="0" borderId="37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2" xfId="38" applyFont="1" applyFill="1" applyBorder="1" applyAlignment="1">
      <alignment horizontal="right"/>
    </xf>
    <xf numFmtId="0" fontId="3" fillId="0" borderId="46" xfId="0" applyFont="1" applyFill="1" applyBorder="1" applyAlignment="1">
      <alignment/>
    </xf>
    <xf numFmtId="43" fontId="3" fillId="0" borderId="42" xfId="38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43" fontId="3" fillId="0" borderId="46" xfId="38" applyFont="1" applyFill="1" applyBorder="1" applyAlignment="1">
      <alignment horizontal="right"/>
    </xf>
    <xf numFmtId="0" fontId="3" fillId="0" borderId="37" xfId="0" applyFont="1" applyFill="1" applyBorder="1" applyAlignment="1">
      <alignment/>
    </xf>
    <xf numFmtId="4" fontId="4" fillId="0" borderId="47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3" fillId="0" borderId="48" xfId="0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0" fontId="8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0" fontId="7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4" fontId="3" fillId="0" borderId="5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4" fontId="3" fillId="0" borderId="51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left"/>
    </xf>
    <xf numFmtId="0" fontId="3" fillId="0" borderId="54" xfId="0" applyFont="1" applyFill="1" applyBorder="1" applyAlignment="1">
      <alignment horizontal="right"/>
    </xf>
    <xf numFmtId="49" fontId="4" fillId="0" borderId="55" xfId="0" applyNumberFormat="1" applyFont="1" applyFill="1" applyBorder="1" applyAlignment="1">
      <alignment horizontal="right"/>
    </xf>
    <xf numFmtId="49" fontId="8" fillId="0" borderId="50" xfId="0" applyNumberFormat="1" applyFont="1" applyFill="1" applyBorder="1" applyAlignment="1">
      <alignment horizontal="left"/>
    </xf>
    <xf numFmtId="49" fontId="3" fillId="0" borderId="54" xfId="0" applyNumberFormat="1" applyFont="1" applyFill="1" applyBorder="1" applyAlignment="1">
      <alignment horizontal="left"/>
    </xf>
    <xf numFmtId="0" fontId="4" fillId="0" borderId="56" xfId="0" applyFont="1" applyFill="1" applyBorder="1" applyAlignment="1">
      <alignment horizontal="right"/>
    </xf>
    <xf numFmtId="0" fontId="4" fillId="33" borderId="33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4" fontId="4" fillId="33" borderId="47" xfId="0" applyNumberFormat="1" applyFont="1" applyFill="1" applyBorder="1" applyAlignment="1">
      <alignment horizontal="right"/>
    </xf>
    <xf numFmtId="4" fontId="4" fillId="33" borderId="39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3" fillId="0" borderId="57" xfId="0" applyNumberFormat="1" applyFont="1" applyFill="1" applyBorder="1" applyAlignment="1">
      <alignment horizontal="right"/>
    </xf>
    <xf numFmtId="4" fontId="4" fillId="0" borderId="54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200" fontId="3" fillId="0" borderId="0" xfId="38" applyNumberFormat="1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58" xfId="38" applyFont="1" applyBorder="1" applyAlignment="1">
      <alignment/>
    </xf>
    <xf numFmtId="0" fontId="3" fillId="0" borderId="27" xfId="0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60" xfId="38" applyFont="1" applyBorder="1" applyAlignment="1">
      <alignment/>
    </xf>
    <xf numFmtId="4" fontId="3" fillId="0" borderId="28" xfId="0" applyNumberFormat="1" applyFont="1" applyBorder="1" applyAlignment="1">
      <alignment/>
    </xf>
    <xf numFmtId="0" fontId="8" fillId="0" borderId="26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34" xfId="38" applyFont="1" applyBorder="1" applyAlignment="1">
      <alignment/>
    </xf>
    <xf numFmtId="0" fontId="11" fillId="0" borderId="26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34" xfId="38" applyFont="1" applyBorder="1" applyAlignment="1">
      <alignment horizontal="center"/>
    </xf>
    <xf numFmtId="43" fontId="11" fillId="0" borderId="34" xfId="38" applyFont="1" applyBorder="1" applyAlignment="1">
      <alignment horizontal="right"/>
    </xf>
    <xf numFmtId="49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center"/>
    </xf>
    <xf numFmtId="43" fontId="3" fillId="0" borderId="63" xfId="38" applyFont="1" applyBorder="1" applyAlignment="1">
      <alignment horizontal="left"/>
    </xf>
    <xf numFmtId="43" fontId="14" fillId="0" borderId="64" xfId="38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43" fontId="4" fillId="0" borderId="20" xfId="38" applyFont="1" applyBorder="1" applyAlignment="1">
      <alignment horizontal="right"/>
    </xf>
    <xf numFmtId="43" fontId="4" fillId="0" borderId="10" xfId="38" applyFont="1" applyBorder="1" applyAlignment="1">
      <alignment horizontal="left"/>
    </xf>
    <xf numFmtId="15" fontId="3" fillId="0" borderId="61" xfId="0" applyNumberFormat="1" applyFont="1" applyBorder="1" applyAlignment="1">
      <alignment horizontal="center"/>
    </xf>
    <xf numFmtId="49" fontId="3" fillId="0" borderId="62" xfId="38" applyNumberFormat="1" applyFont="1" applyBorder="1" applyAlignment="1">
      <alignment horizontal="left"/>
    </xf>
    <xf numFmtId="43" fontId="4" fillId="0" borderId="65" xfId="38" applyFont="1" applyBorder="1" applyAlignment="1">
      <alignment horizontal="center"/>
    </xf>
    <xf numFmtId="43" fontId="4" fillId="0" borderId="24" xfId="38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49" fontId="3" fillId="0" borderId="66" xfId="38" applyNumberFormat="1" applyFont="1" applyBorder="1" applyAlignment="1">
      <alignment horizontal="left"/>
    </xf>
    <xf numFmtId="43" fontId="3" fillId="0" borderId="65" xfId="38" applyFont="1" applyBorder="1" applyAlignment="1">
      <alignment horizontal="right"/>
    </xf>
    <xf numFmtId="43" fontId="4" fillId="0" borderId="20" xfId="38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49" fontId="3" fillId="0" borderId="21" xfId="38" applyNumberFormat="1" applyFont="1" applyBorder="1" applyAlignment="1">
      <alignment horizontal="center"/>
    </xf>
    <xf numFmtId="43" fontId="3" fillId="0" borderId="16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26" xfId="38" applyFont="1" applyBorder="1" applyAlignment="1">
      <alignment horizontal="left"/>
    </xf>
    <xf numFmtId="43" fontId="3" fillId="0" borderId="34" xfId="38" applyFont="1" applyBorder="1" applyAlignment="1">
      <alignment horizontal="left"/>
    </xf>
    <xf numFmtId="43" fontId="2" fillId="0" borderId="18" xfId="38" applyFont="1" applyBorder="1" applyAlignment="1">
      <alignment/>
    </xf>
    <xf numFmtId="43" fontId="3" fillId="0" borderId="66" xfId="38" applyFont="1" applyBorder="1" applyAlignment="1">
      <alignment horizontal="center"/>
    </xf>
    <xf numFmtId="43" fontId="4" fillId="0" borderId="67" xfId="38" applyFont="1" applyBorder="1" applyAlignment="1">
      <alignment/>
    </xf>
    <xf numFmtId="43" fontId="4" fillId="0" borderId="15" xfId="38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5" xfId="38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20" xfId="38" applyFont="1" applyBorder="1" applyAlignment="1">
      <alignment/>
    </xf>
    <xf numFmtId="43" fontId="2" fillId="0" borderId="20" xfId="38" applyFont="1" applyBorder="1" applyAlignment="1">
      <alignment/>
    </xf>
    <xf numFmtId="43" fontId="1" fillId="0" borderId="15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00" fontId="3" fillId="0" borderId="26" xfId="38" applyNumberFormat="1" applyFont="1" applyBorder="1" applyAlignment="1">
      <alignment/>
    </xf>
    <xf numFmtId="200" fontId="3" fillId="0" borderId="26" xfId="38" applyNumberFormat="1" applyFont="1" applyBorder="1" applyAlignment="1">
      <alignment/>
    </xf>
    <xf numFmtId="41" fontId="4" fillId="0" borderId="0" xfId="38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38" applyNumberFormat="1" applyFont="1" applyBorder="1" applyAlignment="1">
      <alignment horizontal="center"/>
    </xf>
    <xf numFmtId="200" fontId="3" fillId="0" borderId="0" xfId="38" applyNumberFormat="1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18" xfId="38" applyFont="1" applyBorder="1" applyAlignment="1">
      <alignment/>
    </xf>
    <xf numFmtId="43" fontId="15" fillId="0" borderId="0" xfId="38" applyFont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3" fillId="34" borderId="68" xfId="38" applyFont="1" applyFill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68" xfId="38" applyFont="1" applyFill="1" applyBorder="1" applyAlignment="1">
      <alignment horizontal="center"/>
    </xf>
    <xf numFmtId="43" fontId="3" fillId="34" borderId="69" xfId="38" applyFont="1" applyFill="1" applyBorder="1" applyAlignment="1">
      <alignment/>
    </xf>
    <xf numFmtId="43" fontId="2" fillId="34" borderId="20" xfId="38" applyFont="1" applyFill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3" fillId="0" borderId="62" xfId="0" applyFont="1" applyBorder="1" applyAlignment="1">
      <alignment horizontal="left"/>
    </xf>
    <xf numFmtId="43" fontId="3" fillId="34" borderId="25" xfId="38" applyFont="1" applyFill="1" applyBorder="1" applyAlignment="1">
      <alignment/>
    </xf>
    <xf numFmtId="43" fontId="3" fillId="35" borderId="42" xfId="38" applyFont="1" applyFill="1" applyBorder="1" applyAlignment="1">
      <alignment horizontal="right"/>
    </xf>
    <xf numFmtId="43" fontId="0" fillId="0" borderId="0" xfId="38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6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3" fontId="3" fillId="0" borderId="27" xfId="38" applyFont="1" applyBorder="1" applyAlignment="1">
      <alignment horizontal="left"/>
    </xf>
    <xf numFmtId="43" fontId="3" fillId="0" borderId="60" xfId="38" applyFont="1" applyBorder="1" applyAlignment="1">
      <alignment horizontal="left"/>
    </xf>
    <xf numFmtId="43" fontId="3" fillId="0" borderId="35" xfId="38" applyFont="1" applyBorder="1" applyAlignment="1">
      <alignment horizontal="center"/>
    </xf>
    <xf numFmtId="43" fontId="3" fillId="0" borderId="58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43000" y="8505825"/>
          <a:ext cx="11430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9525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43575" y="8505825"/>
          <a:ext cx="105727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F23" sqref="F23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18.8515625" style="7" customWidth="1"/>
    <col min="5" max="5" width="9.140625" style="7" customWidth="1"/>
    <col min="6" max="6" width="14.8515625" style="7" customWidth="1"/>
    <col min="7" max="7" width="9.140625" style="7" customWidth="1"/>
    <col min="8" max="8" width="11.28125" style="7" bestFit="1" customWidth="1"/>
    <col min="9" max="16384" width="9.140625" style="7" customWidth="1"/>
  </cols>
  <sheetData>
    <row r="1" spans="1:5" ht="26.25">
      <c r="A1" s="243" t="s">
        <v>98</v>
      </c>
      <c r="B1" s="243"/>
      <c r="C1" s="243"/>
      <c r="D1" s="243"/>
      <c r="E1" s="243"/>
    </row>
    <row r="2" spans="1:5" ht="22.5" customHeight="1">
      <c r="A2" s="243" t="s">
        <v>50</v>
      </c>
      <c r="B2" s="243"/>
      <c r="C2" s="243"/>
      <c r="D2" s="243"/>
      <c r="E2" s="243"/>
    </row>
    <row r="3" spans="1:5" ht="26.25">
      <c r="A3" s="243" t="s">
        <v>265</v>
      </c>
      <c r="B3" s="243"/>
      <c r="C3" s="243"/>
      <c r="D3" s="243"/>
      <c r="E3" s="243"/>
    </row>
    <row r="4" spans="1:4" ht="6.75" customHeight="1">
      <c r="A4" s="32"/>
      <c r="B4" s="32"/>
      <c r="C4" s="32"/>
      <c r="D4" s="32"/>
    </row>
    <row r="5" spans="1:4" ht="31.5" customHeight="1">
      <c r="A5" s="49" t="s">
        <v>5</v>
      </c>
      <c r="B5" s="49" t="s">
        <v>8</v>
      </c>
      <c r="C5" s="50" t="s">
        <v>6</v>
      </c>
      <c r="D5" s="49" t="s">
        <v>7</v>
      </c>
    </row>
    <row r="6" spans="1:4" ht="22.5" customHeight="1">
      <c r="A6" s="51" t="s">
        <v>55</v>
      </c>
      <c r="B6" s="52"/>
      <c r="C6" s="53"/>
      <c r="D6" s="54"/>
    </row>
    <row r="7" spans="1:4" ht="22.5" customHeight="1">
      <c r="A7" s="55" t="s">
        <v>112</v>
      </c>
      <c r="B7" s="56" t="s">
        <v>52</v>
      </c>
      <c r="C7" s="230">
        <v>2343.23</v>
      </c>
      <c r="D7" s="231"/>
    </row>
    <row r="8" spans="1:4" ht="22.5" customHeight="1">
      <c r="A8" s="55" t="s">
        <v>113</v>
      </c>
      <c r="B8" s="56" t="s">
        <v>52</v>
      </c>
      <c r="C8" s="230">
        <v>1933862.05</v>
      </c>
      <c r="D8" s="231"/>
    </row>
    <row r="9" spans="1:4" ht="22.5" customHeight="1">
      <c r="A9" s="55" t="s">
        <v>114</v>
      </c>
      <c r="B9" s="56" t="s">
        <v>52</v>
      </c>
      <c r="C9" s="230">
        <v>118.06</v>
      </c>
      <c r="D9" s="231"/>
    </row>
    <row r="10" spans="1:6" ht="22.5" customHeight="1">
      <c r="A10" s="57" t="s">
        <v>56</v>
      </c>
      <c r="B10" s="56"/>
      <c r="C10" s="230"/>
      <c r="D10" s="231"/>
      <c r="F10" s="20"/>
    </row>
    <row r="11" spans="1:6" ht="22.5" customHeight="1">
      <c r="A11" s="55" t="s">
        <v>115</v>
      </c>
      <c r="B11" s="56" t="s">
        <v>53</v>
      </c>
      <c r="C11" s="230">
        <v>11387632.09</v>
      </c>
      <c r="D11" s="231"/>
      <c r="F11" s="20"/>
    </row>
    <row r="12" spans="1:6" ht="22.5" customHeight="1">
      <c r="A12" s="55" t="s">
        <v>116</v>
      </c>
      <c r="B12" s="56" t="s">
        <v>53</v>
      </c>
      <c r="C12" s="230">
        <v>5564412.24</v>
      </c>
      <c r="D12" s="231"/>
      <c r="F12" s="20"/>
    </row>
    <row r="13" spans="1:6" ht="22.5" customHeight="1">
      <c r="A13" s="55" t="s">
        <v>207</v>
      </c>
      <c r="B13" s="56" t="s">
        <v>53</v>
      </c>
      <c r="C13" s="230">
        <v>3023058.9</v>
      </c>
      <c r="D13" s="231"/>
      <c r="F13" s="20"/>
    </row>
    <row r="14" spans="1:6" ht="22.5" customHeight="1">
      <c r="A14" s="55" t="s">
        <v>99</v>
      </c>
      <c r="B14" s="56">
        <v>701</v>
      </c>
      <c r="C14" s="230">
        <v>4234393.07</v>
      </c>
      <c r="D14" s="231"/>
      <c r="F14" s="20"/>
    </row>
    <row r="15" spans="1:6" ht="22.5" customHeight="1">
      <c r="A15" s="55" t="s">
        <v>105</v>
      </c>
      <c r="B15" s="56">
        <v>702</v>
      </c>
      <c r="C15" s="230">
        <v>5000</v>
      </c>
      <c r="D15" s="231"/>
      <c r="F15" s="20"/>
    </row>
    <row r="16" spans="1:6" ht="22.5" customHeight="1">
      <c r="A16" s="55" t="s">
        <v>101</v>
      </c>
      <c r="B16" s="56">
        <v>703</v>
      </c>
      <c r="C16" s="230">
        <v>19481442</v>
      </c>
      <c r="D16" s="231"/>
      <c r="F16" s="20"/>
    </row>
    <row r="17" spans="1:6" ht="22.5" customHeight="1">
      <c r="A17" s="55" t="s">
        <v>238</v>
      </c>
      <c r="B17" s="56"/>
      <c r="C17" s="230">
        <v>143500</v>
      </c>
      <c r="D17" s="231"/>
      <c r="F17" s="20"/>
    </row>
    <row r="18" spans="1:6" ht="22.5" customHeight="1">
      <c r="A18" s="57" t="s">
        <v>57</v>
      </c>
      <c r="B18" s="58"/>
      <c r="C18" s="230"/>
      <c r="D18" s="231"/>
      <c r="F18" s="20"/>
    </row>
    <row r="19" spans="1:6" ht="22.5" customHeight="1">
      <c r="A19" s="55" t="s">
        <v>84</v>
      </c>
      <c r="B19" s="59" t="s">
        <v>81</v>
      </c>
      <c r="C19" s="230">
        <v>3520.95</v>
      </c>
      <c r="D19" s="231"/>
      <c r="F19" s="20"/>
    </row>
    <row r="20" spans="1:6" ht="22.5" customHeight="1">
      <c r="A20" s="55" t="s">
        <v>80</v>
      </c>
      <c r="B20" s="59" t="s">
        <v>54</v>
      </c>
      <c r="C20" s="232">
        <v>52600</v>
      </c>
      <c r="D20" s="231"/>
      <c r="F20" s="20"/>
    </row>
    <row r="21" spans="1:6" ht="22.5" customHeight="1">
      <c r="A21" s="55" t="s">
        <v>103</v>
      </c>
      <c r="B21" s="59" t="s">
        <v>104</v>
      </c>
      <c r="C21" s="232">
        <v>584079</v>
      </c>
      <c r="D21" s="231"/>
      <c r="F21" s="20"/>
    </row>
    <row r="22" spans="1:6" ht="22.5" customHeight="1">
      <c r="A22" s="55" t="s">
        <v>58</v>
      </c>
      <c r="B22" s="59" t="s">
        <v>48</v>
      </c>
      <c r="C22" s="232">
        <v>3250836.76</v>
      </c>
      <c r="D22" s="231"/>
      <c r="F22" s="20"/>
    </row>
    <row r="23" spans="1:6" ht="22.5" customHeight="1">
      <c r="A23" s="55" t="s">
        <v>107</v>
      </c>
      <c r="B23" s="58">
        <v>6000</v>
      </c>
      <c r="C23" s="232">
        <v>2153245</v>
      </c>
      <c r="D23" s="231"/>
      <c r="F23" s="20"/>
    </row>
    <row r="24" spans="1:6" ht="22.5" customHeight="1">
      <c r="A24" s="55" t="s">
        <v>106</v>
      </c>
      <c r="B24" s="58">
        <v>100</v>
      </c>
      <c r="C24" s="232">
        <v>7675619</v>
      </c>
      <c r="D24" s="231"/>
      <c r="F24" s="20"/>
    </row>
    <row r="25" spans="1:6" ht="22.5" customHeight="1">
      <c r="A25" s="55" t="s">
        <v>108</v>
      </c>
      <c r="B25" s="58">
        <v>101</v>
      </c>
      <c r="C25" s="232">
        <v>770170</v>
      </c>
      <c r="D25" s="231"/>
      <c r="F25" s="20"/>
    </row>
    <row r="26" spans="1:6" ht="22.5" customHeight="1">
      <c r="A26" s="55" t="s">
        <v>109</v>
      </c>
      <c r="B26" s="58">
        <v>102</v>
      </c>
      <c r="C26" s="232">
        <v>2405920</v>
      </c>
      <c r="D26" s="231"/>
      <c r="F26" s="20"/>
    </row>
    <row r="27" spans="1:6" ht="22.5" customHeight="1">
      <c r="A27" s="55" t="s">
        <v>59</v>
      </c>
      <c r="B27" s="58">
        <v>200</v>
      </c>
      <c r="C27" s="232">
        <v>203000</v>
      </c>
      <c r="D27" s="231"/>
      <c r="F27" s="20"/>
    </row>
    <row r="28" spans="1:6" ht="22.5" customHeight="1">
      <c r="A28" s="55" t="s">
        <v>110</v>
      </c>
      <c r="B28" s="58" t="s">
        <v>111</v>
      </c>
      <c r="C28" s="232">
        <v>27000</v>
      </c>
      <c r="D28" s="231"/>
      <c r="F28" s="20"/>
    </row>
    <row r="29" spans="1:6" ht="22.5" customHeight="1">
      <c r="A29" s="55" t="s">
        <v>60</v>
      </c>
      <c r="B29" s="58">
        <v>250</v>
      </c>
      <c r="C29" s="232">
        <v>4229997.28</v>
      </c>
      <c r="D29" s="231"/>
      <c r="F29" s="20"/>
    </row>
    <row r="30" spans="1:6" ht="22.5" customHeight="1">
      <c r="A30" s="55" t="s">
        <v>61</v>
      </c>
      <c r="B30" s="58">
        <v>270</v>
      </c>
      <c r="C30" s="232">
        <v>993175.06</v>
      </c>
      <c r="D30" s="231"/>
      <c r="F30" s="20"/>
    </row>
    <row r="31" spans="1:6" ht="22.5" customHeight="1">
      <c r="A31" s="55" t="s">
        <v>37</v>
      </c>
      <c r="B31" s="58">
        <v>6270</v>
      </c>
      <c r="C31" s="232">
        <v>0</v>
      </c>
      <c r="D31" s="231"/>
      <c r="F31" s="20"/>
    </row>
    <row r="32" spans="1:6" ht="22.5" customHeight="1">
      <c r="A32" s="55" t="s">
        <v>38</v>
      </c>
      <c r="B32" s="58">
        <v>300</v>
      </c>
      <c r="C32" s="232">
        <v>400162.96</v>
      </c>
      <c r="D32" s="231"/>
      <c r="F32" s="20"/>
    </row>
    <row r="33" spans="1:6" ht="22.5" customHeight="1">
      <c r="A33" s="55" t="s">
        <v>39</v>
      </c>
      <c r="B33" s="58">
        <v>400</v>
      </c>
      <c r="C33" s="232">
        <v>253128.23</v>
      </c>
      <c r="D33" s="231"/>
      <c r="F33" s="20"/>
    </row>
    <row r="34" spans="1:6" ht="22.5" customHeight="1">
      <c r="A34" s="55" t="s">
        <v>62</v>
      </c>
      <c r="B34" s="58">
        <v>450</v>
      </c>
      <c r="C34" s="232">
        <v>148360</v>
      </c>
      <c r="D34" s="231"/>
      <c r="F34" s="20"/>
    </row>
    <row r="35" spans="1:8" ht="22.5" customHeight="1">
      <c r="A35" s="55" t="s">
        <v>63</v>
      </c>
      <c r="B35" s="58">
        <v>500</v>
      </c>
      <c r="C35" s="232">
        <v>382519.6</v>
      </c>
      <c r="D35" s="231"/>
      <c r="F35" s="20"/>
      <c r="H35" s="20"/>
    </row>
    <row r="36" spans="1:8" ht="23.25">
      <c r="A36" s="55" t="s">
        <v>83</v>
      </c>
      <c r="B36" s="58">
        <v>550</v>
      </c>
      <c r="C36" s="232">
        <v>0</v>
      </c>
      <c r="D36" s="231"/>
      <c r="F36" s="20"/>
      <c r="H36" s="20"/>
    </row>
    <row r="37" spans="1:8" ht="23.25">
      <c r="A37" s="55" t="s">
        <v>85</v>
      </c>
      <c r="B37" s="58">
        <v>600</v>
      </c>
      <c r="C37" s="230"/>
      <c r="D37" s="231">
        <v>1681800</v>
      </c>
      <c r="F37" s="20"/>
      <c r="H37" s="20"/>
    </row>
    <row r="38" spans="1:8" ht="23.25">
      <c r="A38" s="55" t="s">
        <v>64</v>
      </c>
      <c r="B38" s="58">
        <v>700</v>
      </c>
      <c r="C38" s="230"/>
      <c r="D38" s="231">
        <v>22946815.5</v>
      </c>
      <c r="H38" s="20"/>
    </row>
    <row r="39" spans="1:8" ht="23.25">
      <c r="A39" s="55" t="s">
        <v>65</v>
      </c>
      <c r="B39" s="58">
        <v>703</v>
      </c>
      <c r="C39" s="230"/>
      <c r="D39" s="231">
        <v>8635487.26</v>
      </c>
      <c r="H39" s="20"/>
    </row>
    <row r="40" spans="1:8" ht="23.25">
      <c r="A40" s="55" t="s">
        <v>100</v>
      </c>
      <c r="B40" s="58">
        <v>800</v>
      </c>
      <c r="C40" s="230"/>
      <c r="D40" s="231">
        <v>5330890.5</v>
      </c>
      <c r="H40" s="20"/>
    </row>
    <row r="41" spans="1:8" ht="23.25">
      <c r="A41" s="55" t="s">
        <v>102</v>
      </c>
      <c r="B41" s="58">
        <v>801</v>
      </c>
      <c r="C41" s="230"/>
      <c r="D41" s="231">
        <v>4746328.17</v>
      </c>
      <c r="H41" s="20"/>
    </row>
    <row r="42" spans="1:4" ht="23.25">
      <c r="A42" s="55" t="s">
        <v>66</v>
      </c>
      <c r="B42" s="58">
        <v>821</v>
      </c>
      <c r="C42" s="230"/>
      <c r="D42" s="231">
        <v>25539225.21</v>
      </c>
    </row>
    <row r="43" spans="1:4" ht="23.25">
      <c r="A43" s="60" t="s">
        <v>97</v>
      </c>
      <c r="B43" s="61">
        <v>900</v>
      </c>
      <c r="C43" s="233"/>
      <c r="D43" s="238">
        <v>428548.84</v>
      </c>
    </row>
    <row r="44" spans="1:4" ht="27" thickBot="1">
      <c r="A44" s="35" t="s">
        <v>49</v>
      </c>
      <c r="B44" s="34"/>
      <c r="C44" s="205">
        <f>SUM(C7:C43)</f>
        <v>69309095.47999999</v>
      </c>
      <c r="D44" s="206">
        <f>SUM(D37:D43)</f>
        <v>69309095.48</v>
      </c>
    </row>
    <row r="45" ht="24" thickTop="1"/>
    <row r="52" spans="1:5" ht="23.25">
      <c r="A52" s="242"/>
      <c r="B52" s="242"/>
      <c r="C52" s="242"/>
      <c r="D52" s="242"/>
      <c r="E52" s="242"/>
    </row>
    <row r="53" spans="1:5" ht="23.25">
      <c r="A53" s="241"/>
      <c r="B53" s="241"/>
      <c r="C53" s="241"/>
      <c r="D53" s="241"/>
      <c r="E53" s="241"/>
    </row>
    <row r="54" spans="1:5" ht="23.25">
      <c r="A54" s="241"/>
      <c r="B54" s="241"/>
      <c r="C54" s="241"/>
      <c r="D54" s="241"/>
      <c r="E54" s="241"/>
    </row>
    <row r="56" ht="23.25">
      <c r="C56" s="21"/>
    </row>
    <row r="57" ht="23.25">
      <c r="C57" s="21"/>
    </row>
    <row r="58" ht="23.25">
      <c r="C58" s="21"/>
    </row>
  </sheetData>
  <sheetProtection/>
  <mergeCells count="6">
    <mergeCell ref="A53:E53"/>
    <mergeCell ref="A54:E54"/>
    <mergeCell ref="A52:E52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4"/>
  <sheetViews>
    <sheetView tabSelected="1" zoomScalePageLayoutView="0" workbookViewId="0" topLeftCell="A79">
      <selection activeCell="F86" sqref="F86"/>
    </sheetView>
  </sheetViews>
  <sheetFormatPr defaultColWidth="9.140625" defaultRowHeight="21.75"/>
  <cols>
    <col min="1" max="2" width="17.140625" style="1" customWidth="1"/>
    <col min="3" max="3" width="42.7109375" style="1" customWidth="1"/>
    <col min="4" max="4" width="9.140625" style="1" customWidth="1"/>
    <col min="5" max="5" width="15.7109375" style="1" customWidth="1"/>
    <col min="6" max="16384" width="9.140625" style="1" customWidth="1"/>
  </cols>
  <sheetData>
    <row r="3" spans="1:5" ht="26.25">
      <c r="A3" s="243" t="s">
        <v>117</v>
      </c>
      <c r="B3" s="243"/>
      <c r="C3" s="243"/>
      <c r="D3" s="243"/>
      <c r="E3" s="243"/>
    </row>
    <row r="4" spans="1:5" ht="25.5" customHeight="1">
      <c r="A4" s="243" t="s">
        <v>10</v>
      </c>
      <c r="B4" s="243"/>
      <c r="C4" s="243"/>
      <c r="D4" s="243"/>
      <c r="E4" s="243"/>
    </row>
    <row r="5" ht="22.5" customHeight="1">
      <c r="E5" s="14" t="s">
        <v>223</v>
      </c>
    </row>
    <row r="6" spans="1:5" ht="22.5" customHeight="1">
      <c r="A6" s="243" t="s">
        <v>11</v>
      </c>
      <c r="B6" s="243"/>
      <c r="C6" s="243"/>
      <c r="D6" s="243"/>
      <c r="E6" s="243"/>
    </row>
    <row r="7" spans="1:5" ht="22.5" customHeight="1" thickBot="1">
      <c r="A7" s="8" t="s">
        <v>277</v>
      </c>
      <c r="B7" s="8"/>
      <c r="C7" s="8"/>
      <c r="D7" s="8"/>
      <c r="E7" s="8"/>
    </row>
    <row r="8" spans="1:5" ht="24" customHeight="1" thickTop="1">
      <c r="A8" s="244" t="s">
        <v>12</v>
      </c>
      <c r="B8" s="245"/>
      <c r="C8" s="9"/>
      <c r="D8" s="12"/>
      <c r="E8" s="209" t="s">
        <v>15</v>
      </c>
    </row>
    <row r="9" spans="1:5" ht="23.25">
      <c r="A9" s="207" t="s">
        <v>13</v>
      </c>
      <c r="B9" s="207" t="s">
        <v>14</v>
      </c>
      <c r="C9" s="27" t="s">
        <v>5</v>
      </c>
      <c r="D9" s="13" t="s">
        <v>8</v>
      </c>
      <c r="E9" s="207" t="s">
        <v>14</v>
      </c>
    </row>
    <row r="10" spans="1:5" ht="22.5" thickBot="1">
      <c r="A10" s="208" t="s">
        <v>4</v>
      </c>
      <c r="B10" s="208" t="s">
        <v>4</v>
      </c>
      <c r="C10" s="10"/>
      <c r="D10" s="15"/>
      <c r="E10" s="208" t="s">
        <v>4</v>
      </c>
    </row>
    <row r="11" spans="1:5" ht="22.5" thickTop="1">
      <c r="A11" s="211"/>
      <c r="B11" s="210">
        <v>23275384.3</v>
      </c>
      <c r="C11" s="14" t="s">
        <v>17</v>
      </c>
      <c r="D11" s="2"/>
      <c r="E11" s="210">
        <v>22751768.45</v>
      </c>
    </row>
    <row r="12" spans="1:5" ht="21.75">
      <c r="A12" s="211"/>
      <c r="B12" s="211"/>
      <c r="C12" s="16" t="s">
        <v>47</v>
      </c>
      <c r="D12" s="2"/>
      <c r="E12" s="211"/>
    </row>
    <row r="13" spans="1:5" ht="21.75">
      <c r="A13" s="211">
        <v>198800</v>
      </c>
      <c r="B13" s="211">
        <f>970+1320+1370+10104.58+87622.28+54238.92+4831.67+12604.76+1474.72+1070+1777.8</f>
        <v>177384.73</v>
      </c>
      <c r="C13" s="14" t="s">
        <v>18</v>
      </c>
      <c r="D13" s="17" t="s">
        <v>25</v>
      </c>
      <c r="E13" s="211">
        <v>1777.8</v>
      </c>
    </row>
    <row r="14" spans="1:5" ht="21.75">
      <c r="A14" s="212">
        <v>78140</v>
      </c>
      <c r="B14" s="211">
        <f>3136+6493.9+7411.5+7296+6830+7178+4584+7346+17766.5+5682+1445733.97</f>
        <v>1519457.8699999999</v>
      </c>
      <c r="C14" s="14" t="s">
        <v>19</v>
      </c>
      <c r="D14" s="17" t="s">
        <v>26</v>
      </c>
      <c r="E14" s="211">
        <v>1445733.97</v>
      </c>
    </row>
    <row r="15" spans="1:5" ht="21.75">
      <c r="A15" s="211">
        <v>551000</v>
      </c>
      <c r="B15" s="212">
        <f>3000+3000+3000+3004.71+21237.07+6000+3000+3000+17101.32+345319.12</f>
        <v>407662.22</v>
      </c>
      <c r="C15" s="14" t="s">
        <v>20</v>
      </c>
      <c r="D15" s="17" t="s">
        <v>27</v>
      </c>
      <c r="E15" s="212">
        <v>345319.12</v>
      </c>
    </row>
    <row r="16" spans="1:5" ht="21.75">
      <c r="A16" s="211">
        <v>0</v>
      </c>
      <c r="B16" s="211">
        <v>0</v>
      </c>
      <c r="C16" s="14" t="s">
        <v>21</v>
      </c>
      <c r="D16" s="17" t="s">
        <v>28</v>
      </c>
      <c r="E16" s="211">
        <v>0</v>
      </c>
    </row>
    <row r="17" spans="1:5" ht="21.75">
      <c r="A17" s="211">
        <v>51000</v>
      </c>
      <c r="B17" s="212">
        <f>972+1750+1744+1636+1892+3670+1866+1732+1614+868+27214</f>
        <v>44958</v>
      </c>
      <c r="C17" s="14" t="s">
        <v>22</v>
      </c>
      <c r="D17" s="17" t="s">
        <v>29</v>
      </c>
      <c r="E17" s="212">
        <v>27214</v>
      </c>
    </row>
    <row r="18" spans="1:5" ht="21.75">
      <c r="A18" s="212">
        <v>0</v>
      </c>
      <c r="B18" s="212">
        <v>0</v>
      </c>
      <c r="C18" s="14" t="s">
        <v>23</v>
      </c>
      <c r="D18" s="17" t="s">
        <v>30</v>
      </c>
      <c r="E18" s="212">
        <v>0</v>
      </c>
    </row>
    <row r="19" spans="1:5" ht="21.75">
      <c r="A19" s="211">
        <v>16700000</v>
      </c>
      <c r="B19" s="212">
        <f>1074486.69+1195190.08+327539.96+6736.2+179113.54+239958.56+3376949.2+203212.47+3411938.38+1247828.53+1549158.78</f>
        <v>12812112.389999999</v>
      </c>
      <c r="C19" s="14" t="s">
        <v>24</v>
      </c>
      <c r="D19" s="17" t="s">
        <v>31</v>
      </c>
      <c r="E19" s="212">
        <v>1549158.78</v>
      </c>
    </row>
    <row r="20" spans="1:5" ht="21.75">
      <c r="A20" s="211">
        <v>10250000</v>
      </c>
      <c r="B20" s="212">
        <f>2811702+2811703+48526</f>
        <v>5671931</v>
      </c>
      <c r="C20" s="14" t="s">
        <v>95</v>
      </c>
      <c r="D20" s="17" t="s">
        <v>32</v>
      </c>
      <c r="E20" s="212">
        <v>0</v>
      </c>
    </row>
    <row r="21" spans="1:5" ht="22.5" thickBot="1">
      <c r="A21" s="213">
        <f>SUM(A13:A20)</f>
        <v>27828940</v>
      </c>
      <c r="B21" s="213">
        <f>SUM(B13:B20)</f>
        <v>20633506.21</v>
      </c>
      <c r="D21" s="13"/>
      <c r="E21" s="216">
        <f>SUM(E13:E20)</f>
        <v>3369203.67</v>
      </c>
    </row>
    <row r="22" spans="2:5" ht="22.5" thickTop="1">
      <c r="B22" s="212">
        <f>1325549+539200+333140+114693+183200+703179+240800+981500+438858+45600</f>
        <v>4905719</v>
      </c>
      <c r="C22" s="14" t="s">
        <v>67</v>
      </c>
      <c r="D22" s="18">
        <v>62000</v>
      </c>
      <c r="E22" s="212">
        <v>45600</v>
      </c>
    </row>
    <row r="23" spans="2:5" ht="21.75">
      <c r="B23" s="212">
        <f>264.1+41.42+72.39</f>
        <v>377.91</v>
      </c>
      <c r="C23" s="14" t="s">
        <v>86</v>
      </c>
      <c r="D23" s="36" t="s">
        <v>88</v>
      </c>
      <c r="E23" s="212">
        <v>0</v>
      </c>
    </row>
    <row r="24" spans="2:5" ht="21.75">
      <c r="B24" s="212">
        <f>5000+5000+21080+79+2700+2600</f>
        <v>36459</v>
      </c>
      <c r="C24" s="14" t="s">
        <v>68</v>
      </c>
      <c r="D24" s="36" t="s">
        <v>54</v>
      </c>
      <c r="E24" s="212">
        <v>2600</v>
      </c>
    </row>
    <row r="25" spans="2:5" ht="21.75">
      <c r="B25" s="212">
        <f>11445+1250150</f>
        <v>1261595</v>
      </c>
      <c r="C25" s="14" t="s">
        <v>224</v>
      </c>
      <c r="D25" s="36" t="s">
        <v>48</v>
      </c>
      <c r="E25" s="212">
        <v>0</v>
      </c>
    </row>
    <row r="26" spans="2:5" ht="21.75">
      <c r="B26" s="212">
        <f>3334.56</f>
        <v>3334.56</v>
      </c>
      <c r="C26" s="14" t="s">
        <v>51</v>
      </c>
      <c r="D26" s="18">
        <v>700</v>
      </c>
      <c r="E26" s="212">
        <v>0</v>
      </c>
    </row>
    <row r="27" spans="2:5" ht="21.75">
      <c r="B27" s="212">
        <f>800+2600</f>
        <v>3400</v>
      </c>
      <c r="C27" s="14" t="s">
        <v>252</v>
      </c>
      <c r="D27" s="18"/>
      <c r="E27" s="212">
        <v>2600</v>
      </c>
    </row>
    <row r="28" spans="2:5" ht="21.75">
      <c r="B28" s="212">
        <f>294</f>
        <v>294</v>
      </c>
      <c r="C28" s="14" t="s">
        <v>247</v>
      </c>
      <c r="D28" s="18">
        <v>100</v>
      </c>
      <c r="E28" s="212">
        <v>0</v>
      </c>
    </row>
    <row r="29" spans="2:5" ht="21.75">
      <c r="B29" s="212">
        <f>300+320</f>
        <v>620</v>
      </c>
      <c r="C29" s="14" t="s">
        <v>248</v>
      </c>
      <c r="D29" s="18">
        <v>250</v>
      </c>
      <c r="E29" s="212">
        <v>320</v>
      </c>
    </row>
    <row r="30" spans="2:5" ht="21.75">
      <c r="B30" s="214">
        <f>31933.72+12283.64+30806.43+21493.36+374452.7+326814.79+279505.55+277316.96+286433.65+321071.43+442566.61</f>
        <v>2404678.84</v>
      </c>
      <c r="C30" s="14" t="s">
        <v>87</v>
      </c>
      <c r="D30" s="18">
        <v>900</v>
      </c>
      <c r="E30" s="214">
        <v>442566.61</v>
      </c>
    </row>
    <row r="31" spans="2:5" ht="21.75">
      <c r="B31" s="211"/>
      <c r="D31" s="13"/>
      <c r="E31" s="211"/>
    </row>
    <row r="32" spans="2:5" ht="21.75">
      <c r="B32" s="211"/>
      <c r="D32" s="13"/>
      <c r="E32" s="211"/>
    </row>
    <row r="33" spans="2:5" ht="21.75">
      <c r="B33" s="211"/>
      <c r="D33" s="2"/>
      <c r="E33" s="211"/>
    </row>
    <row r="34" spans="2:5" ht="21.75">
      <c r="B34" s="214"/>
      <c r="D34" s="2"/>
      <c r="E34" s="214"/>
    </row>
    <row r="35" spans="2:5" ht="21.75">
      <c r="B35" s="215">
        <f>SUM(B22:B34)</f>
        <v>8616478.309999999</v>
      </c>
      <c r="D35" s="2"/>
      <c r="E35" s="211">
        <f>SUM(E22:E34)</f>
        <v>493686.61</v>
      </c>
    </row>
    <row r="36" spans="2:5" ht="26.25" customHeight="1" thickBot="1">
      <c r="B36" s="213">
        <f>SUM(B35+B21)</f>
        <v>29249984.52</v>
      </c>
      <c r="C36" s="11" t="s">
        <v>16</v>
      </c>
      <c r="D36" s="3"/>
      <c r="E36" s="213">
        <f>SUM(E35+E21)</f>
        <v>3862890.28</v>
      </c>
    </row>
    <row r="37" spans="2:5" ht="22.5" thickTop="1">
      <c r="B37" s="4"/>
      <c r="C37" s="11"/>
      <c r="D37" s="4"/>
      <c r="E37" s="44"/>
    </row>
    <row r="38" spans="2:5" ht="21.75">
      <c r="B38" s="4"/>
      <c r="C38" s="11"/>
      <c r="D38" s="4"/>
      <c r="E38" s="44"/>
    </row>
    <row r="39" spans="2:5" ht="21.75">
      <c r="B39" s="4"/>
      <c r="C39" s="11"/>
      <c r="D39" s="4"/>
      <c r="E39" s="4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2:5" ht="21.75">
      <c r="B45" s="4"/>
      <c r="C45" s="11"/>
      <c r="D45" s="4"/>
      <c r="E45" s="4"/>
    </row>
    <row r="46" spans="1:3" ht="22.5" customHeight="1">
      <c r="A46" s="4"/>
      <c r="B46" s="4"/>
      <c r="C46" s="4"/>
    </row>
    <row r="47" spans="1:3" s="163" customFormat="1" ht="22.5" customHeight="1">
      <c r="A47" s="162"/>
      <c r="B47" s="162"/>
      <c r="C47" s="162"/>
    </row>
    <row r="48" spans="1:6" s="163" customFormat="1" ht="22.5" customHeight="1">
      <c r="A48" s="246" t="s">
        <v>190</v>
      </c>
      <c r="B48" s="246"/>
      <c r="C48" s="246"/>
      <c r="D48" s="246"/>
      <c r="E48" s="246"/>
      <c r="F48" s="246"/>
    </row>
    <row r="49" spans="1:3" s="163" customFormat="1" ht="22.5" customHeight="1">
      <c r="A49" s="162"/>
      <c r="B49" s="162"/>
      <c r="C49" s="162"/>
    </row>
    <row r="50" spans="1:3" ht="22.5" customHeight="1" thickBot="1">
      <c r="A50" s="4"/>
      <c r="B50" s="4"/>
      <c r="C50" s="4"/>
    </row>
    <row r="51" spans="1:5" ht="24" customHeight="1" thickTop="1">
      <c r="A51" s="244" t="s">
        <v>12</v>
      </c>
      <c r="B51" s="245"/>
      <c r="C51" s="40"/>
      <c r="D51" s="12"/>
      <c r="E51" s="209" t="s">
        <v>15</v>
      </c>
    </row>
    <row r="52" spans="1:5" ht="23.25">
      <c r="A52" s="207" t="s">
        <v>13</v>
      </c>
      <c r="B52" s="207" t="s">
        <v>14</v>
      </c>
      <c r="C52" s="27" t="s">
        <v>5</v>
      </c>
      <c r="D52" s="13" t="s">
        <v>8</v>
      </c>
      <c r="E52" s="207" t="s">
        <v>14</v>
      </c>
    </row>
    <row r="53" spans="1:5" ht="22.5" thickBot="1">
      <c r="A53" s="208" t="s">
        <v>4</v>
      </c>
      <c r="B53" s="208" t="s">
        <v>4</v>
      </c>
      <c r="C53" s="10"/>
      <c r="D53" s="15"/>
      <c r="E53" s="208" t="s">
        <v>4</v>
      </c>
    </row>
    <row r="54" spans="1:5" ht="22.5" thickTop="1">
      <c r="A54" s="2"/>
      <c r="B54" s="2"/>
      <c r="C54" s="16" t="s">
        <v>33</v>
      </c>
      <c r="D54" s="2"/>
      <c r="E54" s="2"/>
    </row>
    <row r="55" spans="1:5" ht="21.75">
      <c r="A55" s="22">
        <v>4043700</v>
      </c>
      <c r="B55" s="212">
        <f>2000+27243.73+380369.9+70305.11+10766+27477.46+28452.73+797046.93+28749.96+106244.35+1772180.59</f>
        <v>3250836.7600000002</v>
      </c>
      <c r="C55" s="14" t="s">
        <v>34</v>
      </c>
      <c r="D55" s="6" t="s">
        <v>48</v>
      </c>
      <c r="E55" s="212">
        <v>1772180.59</v>
      </c>
    </row>
    <row r="56" spans="1:5" ht="21.75">
      <c r="A56" s="22">
        <v>0</v>
      </c>
      <c r="B56" s="212">
        <f>2081+233581+464481+2422+1567+232467+232411+240420+229281+2164</f>
        <v>1640875</v>
      </c>
      <c r="C56" s="14" t="s">
        <v>184</v>
      </c>
      <c r="D56" s="6">
        <v>6000</v>
      </c>
      <c r="E56" s="212">
        <v>2164</v>
      </c>
    </row>
    <row r="57" spans="1:5" ht="21.75">
      <c r="A57" s="22">
        <f>3897180+1369800+240000+1295320+1497480+1211160</f>
        <v>9510940</v>
      </c>
      <c r="B57" s="212">
        <f>637935+720345+655383+851113+675070+672299+673728+699395+696635+696635+696655</f>
        <v>7675193</v>
      </c>
      <c r="C57" s="14" t="s">
        <v>185</v>
      </c>
      <c r="D57" s="5">
        <v>100</v>
      </c>
      <c r="E57" s="212">
        <v>696655</v>
      </c>
    </row>
    <row r="58" spans="1:5" ht="21.75">
      <c r="A58" s="22">
        <v>0</v>
      </c>
      <c r="B58" s="212">
        <f>33720+48770+82490+59430+84850+34840+84550+84550+84550+86210+86210</f>
        <v>770170</v>
      </c>
      <c r="C58" s="14" t="s">
        <v>186</v>
      </c>
      <c r="D58" s="5">
        <v>6100</v>
      </c>
      <c r="E58" s="212">
        <v>86210</v>
      </c>
    </row>
    <row r="59" spans="1:5" ht="21.75">
      <c r="A59" s="26">
        <v>2624640</v>
      </c>
      <c r="B59" s="212">
        <f>218720+218720+218720+218720+218720+218720+218720+218720+218720+218720+218720</f>
        <v>2405920</v>
      </c>
      <c r="C59" s="14" t="s">
        <v>187</v>
      </c>
      <c r="D59" s="5">
        <v>100</v>
      </c>
      <c r="E59" s="212">
        <v>218720</v>
      </c>
    </row>
    <row r="60" spans="1:5" ht="21.75">
      <c r="A60" s="22">
        <f>254400+107000+5000+41000+56000+41000</f>
        <v>504400</v>
      </c>
      <c r="B60" s="212">
        <f>23400+29815+15300+21350+18300+18560+26600+15430+18170+16075</f>
        <v>203000</v>
      </c>
      <c r="C60" s="14" t="s">
        <v>35</v>
      </c>
      <c r="D60" s="5">
        <v>200</v>
      </c>
      <c r="E60" s="212">
        <v>16075</v>
      </c>
    </row>
    <row r="61" spans="1:5" ht="21.75">
      <c r="A61" s="22">
        <v>0</v>
      </c>
      <c r="B61" s="212">
        <f>3000+3000+3000+3000+6000+3000+3000+3000</f>
        <v>27000</v>
      </c>
      <c r="C61" s="14" t="s">
        <v>188</v>
      </c>
      <c r="D61" s="5">
        <v>6200</v>
      </c>
      <c r="E61" s="212">
        <v>3000</v>
      </c>
    </row>
    <row r="62" spans="1:5" ht="21.75">
      <c r="A62" s="22">
        <f>1182000+291000+105000+120000+1751000+75000+150000+597000+1295000+400000+600000+325000</f>
        <v>6891000</v>
      </c>
      <c r="B62" s="212">
        <f>211300+419103.5+293528.9+471347.13+199930+397557.75+78045+605996.5+241355.5+280265.2+479535.8</f>
        <v>3677965.2800000003</v>
      </c>
      <c r="C62" s="14" t="s">
        <v>36</v>
      </c>
      <c r="D62" s="5">
        <v>250</v>
      </c>
      <c r="E62" s="212">
        <v>479535.8</v>
      </c>
    </row>
    <row r="63" spans="1:5" ht="21.75">
      <c r="A63" s="22">
        <f>450000+65000+105000+140000+305920+40000+670000+230000+50000+37000</f>
        <v>2092920</v>
      </c>
      <c r="B63" s="212">
        <f>180980.9+155858.6+46983.7+98371.3+165404.46+89724.7+45127.2+60408.4+150315.8</f>
        <v>993175.0599999998</v>
      </c>
      <c r="C63" s="14" t="s">
        <v>37</v>
      </c>
      <c r="D63" s="5">
        <v>270</v>
      </c>
      <c r="E63" s="212">
        <v>150315.8</v>
      </c>
    </row>
    <row r="64" spans="1:5" ht="21.75">
      <c r="A64" s="22">
        <v>0</v>
      </c>
      <c r="B64" s="212">
        <v>0</v>
      </c>
      <c r="C64" s="14" t="s">
        <v>189</v>
      </c>
      <c r="D64" s="5">
        <v>6270</v>
      </c>
      <c r="E64" s="212">
        <v>0</v>
      </c>
    </row>
    <row r="65" spans="1:5" ht="21.75">
      <c r="A65" s="22">
        <f>490000+10000+40000+3000</f>
        <v>543000</v>
      </c>
      <c r="B65" s="212">
        <f>145110.77+34378.52+29621.39+41025.76+42833.5+38584.97+32839.51+35768.54</f>
        <v>400162.96</v>
      </c>
      <c r="C65" s="14" t="s">
        <v>38</v>
      </c>
      <c r="D65" s="5">
        <v>300</v>
      </c>
      <c r="E65" s="212">
        <v>35768.54</v>
      </c>
    </row>
    <row r="66" spans="1:5" ht="21.75">
      <c r="A66" s="22">
        <f>18000+76000+75000+200000</f>
        <v>369000</v>
      </c>
      <c r="B66" s="212">
        <f>40000+87500+5000+105628.23+15000</f>
        <v>253128.22999999998</v>
      </c>
      <c r="C66" s="14" t="s">
        <v>39</v>
      </c>
      <c r="D66" s="5">
        <v>400</v>
      </c>
      <c r="E66" s="212">
        <v>0</v>
      </c>
    </row>
    <row r="67" spans="1:5" ht="21.75">
      <c r="A67" s="22">
        <f>100000+136000+307400+70000+70000+100000</f>
        <v>783400</v>
      </c>
      <c r="B67" s="212">
        <f>33980+12850+22685+45000+9785</f>
        <v>124300</v>
      </c>
      <c r="C67" s="14" t="s">
        <v>40</v>
      </c>
      <c r="D67" s="5">
        <v>450</v>
      </c>
      <c r="E67" s="212">
        <v>0</v>
      </c>
    </row>
    <row r="68" spans="1:5" ht="21.75">
      <c r="A68" s="22">
        <f>456900</f>
        <v>456900</v>
      </c>
      <c r="B68" s="212">
        <f>219219.6+618000+24800</f>
        <v>862019.6</v>
      </c>
      <c r="C68" s="14" t="s">
        <v>41</v>
      </c>
      <c r="D68" s="5">
        <v>500</v>
      </c>
      <c r="E68" s="212">
        <v>0</v>
      </c>
    </row>
    <row r="69" spans="1:5" ht="21.75">
      <c r="A69" s="26">
        <v>0</v>
      </c>
      <c r="B69" s="212">
        <v>0</v>
      </c>
      <c r="C69" s="14" t="s">
        <v>74</v>
      </c>
      <c r="D69" s="5">
        <v>550</v>
      </c>
      <c r="E69" s="212">
        <v>0</v>
      </c>
    </row>
    <row r="70" spans="1:5" ht="22.5" thickBot="1">
      <c r="A70" s="25">
        <f>SUM(A55:A69)</f>
        <v>27819900</v>
      </c>
      <c r="B70" s="217">
        <f>SUM(B55:B69)</f>
        <v>22283745.89</v>
      </c>
      <c r="C70" s="14"/>
      <c r="D70" s="5"/>
      <c r="E70" s="217">
        <f>SUM(E55:E69)</f>
        <v>3460624.7299999995</v>
      </c>
    </row>
    <row r="71" spans="1:5" ht="22.5" thickTop="1">
      <c r="A71" s="24"/>
      <c r="B71" s="212">
        <v>0</v>
      </c>
      <c r="C71" s="14" t="s">
        <v>41</v>
      </c>
      <c r="D71" s="5">
        <v>6500</v>
      </c>
      <c r="E71" s="212">
        <v>0</v>
      </c>
    </row>
    <row r="72" spans="1:5" ht="21.75">
      <c r="A72" s="24"/>
      <c r="B72" s="212">
        <f>24060</f>
        <v>24060</v>
      </c>
      <c r="C72" s="14" t="s">
        <v>40</v>
      </c>
      <c r="D72" s="5">
        <v>7450</v>
      </c>
      <c r="E72" s="212">
        <v>0</v>
      </c>
    </row>
    <row r="73" spans="1:5" ht="21.75">
      <c r="A73" s="24"/>
      <c r="B73" s="212">
        <v>0</v>
      </c>
      <c r="C73" s="14" t="s">
        <v>96</v>
      </c>
      <c r="D73" s="5"/>
      <c r="E73" s="212">
        <v>0</v>
      </c>
    </row>
    <row r="74" spans="1:5" ht="21.75">
      <c r="A74" s="24"/>
      <c r="B74" s="212">
        <f>42000+47922+7044+258335+7200+117640+42160+11370+51440+56600</f>
        <v>641711</v>
      </c>
      <c r="C74" s="14" t="s">
        <v>69</v>
      </c>
      <c r="D74" s="30" t="s">
        <v>54</v>
      </c>
      <c r="E74" s="212">
        <v>56600</v>
      </c>
    </row>
    <row r="75" spans="1:5" ht="21.75">
      <c r="A75" s="24"/>
      <c r="B75" s="212">
        <f>283690+232800+52340+280910+1660+1743+1743+83+245600</f>
        <v>1100569</v>
      </c>
      <c r="C75" s="14" t="s">
        <v>225</v>
      </c>
      <c r="D75" s="5">
        <v>704</v>
      </c>
      <c r="E75" s="212">
        <v>245600</v>
      </c>
    </row>
    <row r="76" spans="1:5" ht="21.75">
      <c r="A76" s="24"/>
      <c r="B76" s="212">
        <f>2166400+1250150+56800</f>
        <v>3473350</v>
      </c>
      <c r="C76" s="14" t="s">
        <v>226</v>
      </c>
      <c r="D76" s="5">
        <v>600</v>
      </c>
      <c r="E76" s="212">
        <v>0</v>
      </c>
    </row>
    <row r="77" spans="1:5" ht="21.75">
      <c r="A77" s="24"/>
      <c r="B77" s="212">
        <f>496000</f>
        <v>496000</v>
      </c>
      <c r="C77" s="14" t="s">
        <v>70</v>
      </c>
      <c r="D77" s="5">
        <v>700</v>
      </c>
      <c r="E77" s="212">
        <v>496000</v>
      </c>
    </row>
    <row r="78" spans="1:5" ht="21.75">
      <c r="A78" s="24"/>
      <c r="B78" s="212">
        <f>182770.79+52782.72+25901.24+19192.17+377459.95+281430.43+291712.28+284727.93+341972.07+292149.35+300907.43</f>
        <v>2451006.3600000003</v>
      </c>
      <c r="C78" s="14" t="s">
        <v>193</v>
      </c>
      <c r="D78" s="164">
        <v>900</v>
      </c>
      <c r="E78" s="212">
        <v>300907.43</v>
      </c>
    </row>
    <row r="79" spans="1:5" ht="21.75">
      <c r="A79" s="24"/>
      <c r="B79" s="215">
        <f>SUM(B71:B78)</f>
        <v>8186696.36</v>
      </c>
      <c r="C79" s="11" t="s">
        <v>42</v>
      </c>
      <c r="D79" s="4"/>
      <c r="E79" s="215">
        <f>SUM(E71:E78)</f>
        <v>1099107.43</v>
      </c>
    </row>
    <row r="80" spans="1:5" ht="21.75">
      <c r="A80" s="24"/>
      <c r="B80" s="215">
        <f>SUM(B79+B70)</f>
        <v>30470442.25</v>
      </c>
      <c r="C80" s="11" t="s">
        <v>43</v>
      </c>
      <c r="D80" s="4"/>
      <c r="E80" s="215">
        <f>SUM(E79+E70)</f>
        <v>4559732.159999999</v>
      </c>
    </row>
    <row r="81" spans="1:5" ht="21.75">
      <c r="A81" s="24"/>
      <c r="B81" s="218"/>
      <c r="C81" s="14" t="s">
        <v>46</v>
      </c>
      <c r="E81" s="218"/>
    </row>
    <row r="82" spans="1:5" ht="21.75">
      <c r="A82" s="24"/>
      <c r="B82" s="229" t="s">
        <v>276</v>
      </c>
      <c r="C82" s="11" t="s">
        <v>44</v>
      </c>
      <c r="E82" s="229" t="s">
        <v>275</v>
      </c>
    </row>
    <row r="83" spans="1:5" ht="21.75">
      <c r="A83" s="24"/>
      <c r="B83" s="216">
        <v>22054926.57</v>
      </c>
      <c r="C83" s="11" t="s">
        <v>45</v>
      </c>
      <c r="E83" s="234">
        <v>22054926.57</v>
      </c>
    </row>
    <row r="84" spans="1:5" ht="26.25" customHeight="1">
      <c r="A84" s="24"/>
      <c r="B84" s="23"/>
      <c r="C84" s="11"/>
      <c r="E84" s="23"/>
    </row>
    <row r="85" ht="28.5" customHeight="1"/>
    <row r="86" s="19" customFormat="1" ht="21"/>
    <row r="87" s="19" customFormat="1" ht="21"/>
    <row r="88" s="19" customFormat="1" ht="21"/>
  </sheetData>
  <sheetProtection/>
  <mergeCells count="6">
    <mergeCell ref="A3:E3"/>
    <mergeCell ref="A4:E4"/>
    <mergeCell ref="A6:E6"/>
    <mergeCell ref="A51:B51"/>
    <mergeCell ref="A8:B8"/>
    <mergeCell ref="A48:F4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2"/>
  <sheetViews>
    <sheetView view="pageBreakPreview" zoomScaleSheetLayoutView="100" zoomScalePageLayoutView="0" workbookViewId="0" topLeftCell="A103">
      <selection activeCell="A108" sqref="A108:B108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2" spans="1:2" ht="26.25">
      <c r="A2" s="247" t="s">
        <v>71</v>
      </c>
      <c r="B2" s="247"/>
    </row>
    <row r="3" spans="1:2" ht="26.25">
      <c r="A3" s="247" t="s">
        <v>273</v>
      </c>
      <c r="B3" s="247"/>
    </row>
    <row r="4" spans="1:2" ht="26.25">
      <c r="A4" s="247" t="s">
        <v>89</v>
      </c>
      <c r="B4" s="247"/>
    </row>
    <row r="6" spans="1:2" ht="23.25">
      <c r="A6" s="7" t="s">
        <v>208</v>
      </c>
      <c r="B6" s="29">
        <v>3898.86</v>
      </c>
    </row>
    <row r="7" spans="1:2" ht="23.25">
      <c r="A7" s="7" t="s">
        <v>244</v>
      </c>
      <c r="B7" s="29">
        <v>264.1</v>
      </c>
    </row>
    <row r="8" spans="1:2" ht="23.25">
      <c r="A8" s="7" t="s">
        <v>249</v>
      </c>
      <c r="B8" s="29">
        <v>41.42</v>
      </c>
    </row>
    <row r="9" spans="1:2" ht="23.25">
      <c r="A9" s="7" t="s">
        <v>253</v>
      </c>
      <c r="B9" s="29">
        <v>72.39</v>
      </c>
    </row>
    <row r="10" spans="1:2" ht="22.5" thickBot="1">
      <c r="A10" s="1" t="s">
        <v>90</v>
      </c>
      <c r="B10" s="43">
        <v>3520.95</v>
      </c>
    </row>
    <row r="11" ht="22.5" thickTop="1">
      <c r="B11" s="44"/>
    </row>
    <row r="12" spans="1:3" ht="26.25">
      <c r="A12" s="247" t="s">
        <v>76</v>
      </c>
      <c r="B12" s="247"/>
      <c r="C12" s="247"/>
    </row>
    <row r="13" spans="1:3" ht="26.25">
      <c r="A13" s="247" t="s">
        <v>273</v>
      </c>
      <c r="B13" s="247"/>
      <c r="C13" s="247"/>
    </row>
    <row r="14" spans="1:3" ht="26.25">
      <c r="A14" s="247" t="s">
        <v>72</v>
      </c>
      <c r="B14" s="247"/>
      <c r="C14" s="247"/>
    </row>
    <row r="15" spans="1:2" ht="12.75" customHeight="1">
      <c r="A15" s="37"/>
      <c r="B15" s="37"/>
    </row>
    <row r="16" spans="1:3" ht="24.75" customHeight="1">
      <c r="A16" s="37"/>
      <c r="B16" s="46" t="s">
        <v>209</v>
      </c>
      <c r="C16" s="45" t="s">
        <v>206</v>
      </c>
    </row>
    <row r="17" spans="1:3" ht="23.25">
      <c r="A17" s="7" t="s">
        <v>204</v>
      </c>
      <c r="B17" s="41">
        <v>2105000</v>
      </c>
      <c r="C17" s="29"/>
    </row>
    <row r="18" spans="1:3" ht="23.25">
      <c r="A18" s="48" t="s">
        <v>205</v>
      </c>
      <c r="B18" s="204">
        <v>2105000</v>
      </c>
      <c r="C18" s="29"/>
    </row>
    <row r="19" spans="1:3" ht="23.25">
      <c r="A19" s="7" t="s">
        <v>210</v>
      </c>
      <c r="B19" s="41">
        <v>25000</v>
      </c>
      <c r="C19" s="29"/>
    </row>
    <row r="20" spans="1:3" ht="23.25">
      <c r="A20" s="48" t="s">
        <v>205</v>
      </c>
      <c r="B20" s="204">
        <v>20900</v>
      </c>
      <c r="C20" s="29">
        <v>4100</v>
      </c>
    </row>
    <row r="21" spans="1:3" ht="23.25">
      <c r="A21" s="7" t="s">
        <v>211</v>
      </c>
      <c r="B21" s="21">
        <v>40700</v>
      </c>
      <c r="C21" s="29"/>
    </row>
    <row r="22" spans="1:3" ht="23.25">
      <c r="A22" s="48" t="s">
        <v>205</v>
      </c>
      <c r="B22" s="204">
        <v>40500</v>
      </c>
      <c r="C22" s="29">
        <v>200</v>
      </c>
    </row>
    <row r="23" spans="1:3" ht="23.25">
      <c r="A23" s="7" t="s">
        <v>212</v>
      </c>
      <c r="B23" s="21">
        <v>300000</v>
      </c>
      <c r="C23" s="29">
        <v>300000</v>
      </c>
    </row>
    <row r="24" spans="1:3" ht="23.25">
      <c r="A24" s="7" t="s">
        <v>213</v>
      </c>
      <c r="B24" s="21">
        <v>40000</v>
      </c>
      <c r="C24" s="29">
        <v>40000</v>
      </c>
    </row>
    <row r="25" spans="1:3" ht="23.25">
      <c r="A25" s="7" t="s">
        <v>214</v>
      </c>
      <c r="B25" s="21">
        <v>22000</v>
      </c>
      <c r="C25" s="29"/>
    </row>
    <row r="26" spans="1:3" ht="25.5">
      <c r="A26" s="48" t="s">
        <v>205</v>
      </c>
      <c r="B26" s="228">
        <v>22000</v>
      </c>
      <c r="C26" s="29"/>
    </row>
    <row r="27" spans="1:3" ht="23.25">
      <c r="A27" s="7" t="s">
        <v>215</v>
      </c>
      <c r="B27" s="21">
        <v>16500</v>
      </c>
      <c r="C27" s="29"/>
    </row>
    <row r="28" spans="1:3" ht="25.5">
      <c r="A28" s="48" t="s">
        <v>205</v>
      </c>
      <c r="B28" s="228">
        <v>16500</v>
      </c>
      <c r="C28" s="29"/>
    </row>
    <row r="29" spans="1:3" ht="23.25">
      <c r="A29" s="7" t="s">
        <v>216</v>
      </c>
      <c r="B29" s="21">
        <v>10800</v>
      </c>
      <c r="C29" s="29"/>
    </row>
    <row r="30" spans="1:3" ht="25.5">
      <c r="A30" s="48" t="s">
        <v>205</v>
      </c>
      <c r="B30" s="228">
        <v>10800</v>
      </c>
      <c r="C30" s="29"/>
    </row>
    <row r="31" spans="1:3" ht="23.25">
      <c r="A31" s="7" t="s">
        <v>217</v>
      </c>
      <c r="B31" s="21">
        <v>7500</v>
      </c>
      <c r="C31" s="29"/>
    </row>
    <row r="32" spans="1:3" ht="23.25">
      <c r="A32" s="48" t="s">
        <v>205</v>
      </c>
      <c r="B32" s="204">
        <v>7500</v>
      </c>
      <c r="C32" s="29"/>
    </row>
    <row r="33" spans="1:3" ht="23.25">
      <c r="A33" s="7" t="s">
        <v>218</v>
      </c>
      <c r="B33" s="21">
        <v>1294000</v>
      </c>
      <c r="C33" s="29">
        <v>1294000</v>
      </c>
    </row>
    <row r="34" spans="1:3" ht="23.25">
      <c r="A34" s="7" t="s">
        <v>219</v>
      </c>
      <c r="B34" s="21">
        <v>1250150</v>
      </c>
      <c r="C34" s="29"/>
    </row>
    <row r="35" spans="1:3" ht="23.25">
      <c r="A35" s="48" t="s">
        <v>205</v>
      </c>
      <c r="B35" s="204">
        <v>1250150</v>
      </c>
      <c r="C35" s="29">
        <v>0</v>
      </c>
    </row>
    <row r="36" spans="1:3" ht="23.25">
      <c r="A36" s="7" t="s">
        <v>220</v>
      </c>
      <c r="B36" s="21">
        <v>480000</v>
      </c>
      <c r="C36" s="29"/>
    </row>
    <row r="37" spans="1:3" ht="23.25">
      <c r="A37" s="48" t="s">
        <v>205</v>
      </c>
      <c r="B37" s="204">
        <v>479500</v>
      </c>
      <c r="C37" s="29">
        <v>500</v>
      </c>
    </row>
    <row r="38" spans="1:3" ht="23.25">
      <c r="A38" s="7" t="s">
        <v>221</v>
      </c>
      <c r="B38" s="21">
        <v>43000</v>
      </c>
      <c r="C38" s="44">
        <v>43000</v>
      </c>
    </row>
    <row r="39" spans="1:3" ht="24" thickBot="1">
      <c r="A39" s="28" t="s">
        <v>75</v>
      </c>
      <c r="B39" s="47">
        <f>SUM(B17:B38)</f>
        <v>9587500</v>
      </c>
      <c r="C39" s="203">
        <f>SUM(C17:C38)</f>
        <v>1681800</v>
      </c>
    </row>
    <row r="40" spans="1:3" ht="15" customHeight="1" thickTop="1">
      <c r="A40" s="37"/>
      <c r="B40" s="37"/>
      <c r="C40" s="37"/>
    </row>
    <row r="41" spans="1:2" ht="23.25" customHeight="1">
      <c r="A41" s="247" t="s">
        <v>91</v>
      </c>
      <c r="B41" s="247"/>
    </row>
    <row r="42" spans="1:2" ht="23.25" customHeight="1">
      <c r="A42" s="247" t="s">
        <v>273</v>
      </c>
      <c r="B42" s="247"/>
    </row>
    <row r="43" spans="1:2" ht="23.25" customHeight="1">
      <c r="A43" s="247" t="s">
        <v>0</v>
      </c>
      <c r="B43" s="247"/>
    </row>
    <row r="44" spans="1:2" ht="23.25" customHeight="1">
      <c r="A44" s="7" t="s">
        <v>77</v>
      </c>
      <c r="B44" s="20">
        <v>7570.76</v>
      </c>
    </row>
    <row r="45" spans="1:2" ht="23.25" customHeight="1">
      <c r="A45" s="7" t="s">
        <v>79</v>
      </c>
      <c r="B45" s="20">
        <v>252062</v>
      </c>
    </row>
    <row r="46" spans="1:2" ht="23.25" customHeight="1">
      <c r="A46" s="7" t="s">
        <v>313</v>
      </c>
      <c r="B46" s="20">
        <v>143350</v>
      </c>
    </row>
    <row r="47" spans="1:2" ht="23.25" customHeight="1">
      <c r="A47" s="7" t="s">
        <v>78</v>
      </c>
      <c r="B47" s="20">
        <v>13334.68</v>
      </c>
    </row>
    <row r="48" spans="1:2" ht="23.25" customHeight="1">
      <c r="A48" s="7" t="s">
        <v>239</v>
      </c>
      <c r="B48" s="20">
        <v>1391.4</v>
      </c>
    </row>
    <row r="49" spans="1:2" ht="23.25" customHeight="1">
      <c r="A49" s="7" t="s">
        <v>222</v>
      </c>
      <c r="B49" s="20">
        <v>10840</v>
      </c>
    </row>
    <row r="50" spans="1:2" ht="23.25" customHeight="1" thickBot="1">
      <c r="A50" s="7"/>
      <c r="B50" s="42">
        <f>SUM(B44:B49)</f>
        <v>428548.84</v>
      </c>
    </row>
    <row r="51" spans="1:2" ht="15" customHeight="1" thickTop="1">
      <c r="A51" s="247"/>
      <c r="B51" s="247"/>
    </row>
    <row r="52" spans="1:2" ht="23.25" customHeight="1">
      <c r="A52" s="247" t="s">
        <v>1</v>
      </c>
      <c r="B52" s="247"/>
    </row>
    <row r="53" spans="1:2" ht="23.25" customHeight="1">
      <c r="A53" s="247" t="s">
        <v>273</v>
      </c>
      <c r="B53" s="247"/>
    </row>
    <row r="54" spans="1:2" ht="23.25" customHeight="1">
      <c r="A54" s="247" t="s">
        <v>73</v>
      </c>
      <c r="B54" s="247"/>
    </row>
    <row r="55" spans="1:2" ht="23.25">
      <c r="A55" s="219" t="s">
        <v>304</v>
      </c>
      <c r="B55" s="165">
        <v>594</v>
      </c>
    </row>
    <row r="56" spans="1:2" ht="23.25">
      <c r="A56" s="219" t="s">
        <v>305</v>
      </c>
      <c r="B56" s="165">
        <v>3.8</v>
      </c>
    </row>
    <row r="57" spans="1:6" ht="24" customHeight="1">
      <c r="A57" s="219" t="s">
        <v>234</v>
      </c>
      <c r="B57" s="226">
        <v>1180</v>
      </c>
      <c r="D57" s="220"/>
      <c r="E57" s="222"/>
      <c r="F57" s="225"/>
    </row>
    <row r="58" spans="1:6" ht="24" customHeight="1">
      <c r="A58" s="219" t="s">
        <v>191</v>
      </c>
      <c r="B58" s="226">
        <v>2124</v>
      </c>
      <c r="D58" s="220"/>
      <c r="E58" s="222"/>
      <c r="F58" s="225"/>
    </row>
    <row r="59" spans="1:6" ht="24" customHeight="1">
      <c r="A59" s="219" t="s">
        <v>260</v>
      </c>
      <c r="B59" s="226">
        <v>322.75</v>
      </c>
      <c r="D59" s="220"/>
      <c r="E59" s="222"/>
      <c r="F59" s="225"/>
    </row>
    <row r="60" spans="1:6" ht="24" customHeight="1">
      <c r="A60" s="219" t="s">
        <v>192</v>
      </c>
      <c r="B60" s="176">
        <v>1970</v>
      </c>
      <c r="D60" s="220"/>
      <c r="E60" s="223"/>
      <c r="F60" s="168"/>
    </row>
    <row r="61" spans="1:6" ht="24" customHeight="1">
      <c r="A61" s="219" t="s">
        <v>235</v>
      </c>
      <c r="B61" s="176">
        <v>130</v>
      </c>
      <c r="D61" s="221"/>
      <c r="E61" s="224"/>
      <c r="F61" s="168"/>
    </row>
    <row r="62" spans="1:6" ht="24" customHeight="1">
      <c r="A62" s="219" t="s">
        <v>306</v>
      </c>
      <c r="B62" s="176">
        <v>50</v>
      </c>
      <c r="D62" s="221"/>
      <c r="E62" s="224"/>
      <c r="F62" s="168"/>
    </row>
    <row r="63" spans="1:6" ht="24" customHeight="1">
      <c r="A63" s="219" t="s">
        <v>307</v>
      </c>
      <c r="B63" s="176">
        <v>1440867.22</v>
      </c>
      <c r="D63" s="221"/>
      <c r="E63" s="224"/>
      <c r="F63" s="168"/>
    </row>
    <row r="64" spans="1:6" ht="24" customHeight="1">
      <c r="A64" s="219" t="s">
        <v>308</v>
      </c>
      <c r="B64" s="176">
        <v>200</v>
      </c>
      <c r="D64" s="221"/>
      <c r="E64" s="224"/>
      <c r="F64" s="168"/>
    </row>
    <row r="65" spans="1:6" ht="24" customHeight="1">
      <c r="A65" s="219" t="s">
        <v>261</v>
      </c>
      <c r="B65" s="176">
        <v>70</v>
      </c>
      <c r="D65" s="221"/>
      <c r="E65" s="224"/>
      <c r="F65" s="168"/>
    </row>
    <row r="66" spans="1:6" ht="24" customHeight="1">
      <c r="A66" s="219" t="s">
        <v>250</v>
      </c>
      <c r="B66" s="176">
        <v>3000</v>
      </c>
      <c r="D66" s="221"/>
      <c r="E66" s="224"/>
      <c r="F66" s="168"/>
    </row>
    <row r="67" spans="1:6" ht="24" customHeight="1">
      <c r="A67" s="219" t="s">
        <v>262</v>
      </c>
      <c r="B67" s="176">
        <v>342319.12</v>
      </c>
      <c r="D67" s="221"/>
      <c r="E67" s="224"/>
      <c r="F67" s="168"/>
    </row>
    <row r="68" spans="1:6" ht="24" customHeight="1">
      <c r="A68" s="219" t="s">
        <v>309</v>
      </c>
      <c r="B68" s="176">
        <v>26800</v>
      </c>
      <c r="D68" s="221"/>
      <c r="E68" s="224"/>
      <c r="F68" s="168"/>
    </row>
    <row r="69" spans="1:6" ht="24" customHeight="1">
      <c r="A69" s="219" t="s">
        <v>254</v>
      </c>
      <c r="B69" s="176">
        <v>204</v>
      </c>
      <c r="D69" s="220"/>
      <c r="E69" s="224"/>
      <c r="F69" s="168"/>
    </row>
    <row r="70" spans="1:6" ht="24" customHeight="1">
      <c r="A70" s="219" t="s">
        <v>236</v>
      </c>
      <c r="B70" s="176">
        <v>210</v>
      </c>
      <c r="D70" s="220"/>
      <c r="E70" s="224"/>
      <c r="F70" s="168"/>
    </row>
    <row r="71" spans="1:6" ht="24" customHeight="1">
      <c r="A71" s="219" t="s">
        <v>263</v>
      </c>
      <c r="B71" s="176">
        <v>1159482.88</v>
      </c>
      <c r="D71" s="220"/>
      <c r="E71" s="224"/>
      <c r="F71" s="168"/>
    </row>
    <row r="72" spans="1:6" ht="24" customHeight="1">
      <c r="A72" s="219" t="s">
        <v>245</v>
      </c>
      <c r="B72" s="176">
        <v>119629.3</v>
      </c>
      <c r="D72" s="220"/>
      <c r="E72" s="224"/>
      <c r="F72" s="168"/>
    </row>
    <row r="73" spans="1:6" ht="24" customHeight="1">
      <c r="A73" s="219" t="s">
        <v>246</v>
      </c>
      <c r="B73" s="176">
        <v>48465.88</v>
      </c>
      <c r="D73" s="220"/>
      <c r="E73" s="224"/>
      <c r="F73" s="168"/>
    </row>
    <row r="74" spans="1:6" ht="24" customHeight="1">
      <c r="A74" s="219" t="s">
        <v>237</v>
      </c>
      <c r="B74" s="176">
        <v>135959.68</v>
      </c>
      <c r="D74" s="220"/>
      <c r="E74" s="224"/>
      <c r="F74" s="168"/>
    </row>
    <row r="75" spans="1:6" ht="24" customHeight="1">
      <c r="A75" s="219" t="s">
        <v>310</v>
      </c>
      <c r="B75" s="176">
        <v>10915.71</v>
      </c>
      <c r="D75" s="220"/>
      <c r="E75" s="224"/>
      <c r="F75" s="168"/>
    </row>
    <row r="76" spans="1:6" ht="24" customHeight="1">
      <c r="A76" s="219" t="s">
        <v>311</v>
      </c>
      <c r="B76" s="176">
        <v>2515.33</v>
      </c>
      <c r="D76" s="220"/>
      <c r="E76" s="224"/>
      <c r="F76" s="168"/>
    </row>
    <row r="77" spans="1:6" ht="24" customHeight="1">
      <c r="A77" s="219" t="s">
        <v>264</v>
      </c>
      <c r="B77" s="176">
        <v>72190</v>
      </c>
      <c r="D77" s="220"/>
      <c r="E77" s="224"/>
      <c r="F77" s="168"/>
    </row>
    <row r="78" spans="1:6" ht="24" customHeight="1">
      <c r="A78" s="219" t="s">
        <v>312</v>
      </c>
      <c r="B78" s="176">
        <v>45600</v>
      </c>
      <c r="D78" s="220"/>
      <c r="E78" s="224"/>
      <c r="F78" s="168"/>
    </row>
    <row r="79" spans="1:6" ht="22.5" customHeight="1" thickBot="1">
      <c r="A79" s="219"/>
      <c r="B79" s="227">
        <f>SUM(B55:B78)</f>
        <v>3414803.67</v>
      </c>
      <c r="C79" s="33"/>
      <c r="D79" s="168"/>
      <c r="E79" s="223"/>
      <c r="F79" s="168"/>
    </row>
    <row r="80" spans="1:2" ht="22.5" customHeight="1" thickTop="1">
      <c r="A80" s="37"/>
      <c r="B80" s="37"/>
    </row>
    <row r="81" spans="1:2" ht="23.25">
      <c r="A81" s="7"/>
      <c r="B81" s="41"/>
    </row>
    <row r="82" spans="1:2" ht="26.25">
      <c r="A82" s="247" t="s">
        <v>2</v>
      </c>
      <c r="B82" s="247"/>
    </row>
    <row r="83" spans="1:2" ht="26.25">
      <c r="A83" s="247" t="s">
        <v>273</v>
      </c>
      <c r="B83" s="247"/>
    </row>
    <row r="84" spans="1:2" ht="26.25">
      <c r="A84" s="247" t="s">
        <v>89</v>
      </c>
      <c r="B84" s="247"/>
    </row>
    <row r="85" spans="1:2" ht="23.25">
      <c r="A85" s="7" t="s">
        <v>251</v>
      </c>
      <c r="B85" s="41">
        <v>0</v>
      </c>
    </row>
    <row r="86" spans="1:2" ht="24" thickBot="1">
      <c r="A86" s="28" t="s">
        <v>94</v>
      </c>
      <c r="B86" s="39">
        <f>SUM(B85)</f>
        <v>0</v>
      </c>
    </row>
    <row r="87" spans="1:2" ht="24" thickTop="1">
      <c r="A87" s="28"/>
      <c r="B87" s="41"/>
    </row>
    <row r="88" spans="1:2" ht="23.25">
      <c r="A88" s="28"/>
      <c r="B88" s="41"/>
    </row>
    <row r="89" spans="1:2" ht="23.25">
      <c r="A89" s="7"/>
      <c r="B89" s="41"/>
    </row>
    <row r="90" spans="1:2" ht="23.25">
      <c r="A90" s="7"/>
      <c r="B90" s="41"/>
    </row>
    <row r="91" spans="1:2" ht="23.25">
      <c r="A91" s="7"/>
      <c r="B91" s="41"/>
    </row>
    <row r="92" spans="1:2" ht="26.25">
      <c r="A92" s="247" t="s">
        <v>92</v>
      </c>
      <c r="B92" s="247"/>
    </row>
    <row r="93" spans="1:2" ht="26.25">
      <c r="A93" s="247" t="s">
        <v>273</v>
      </c>
      <c r="B93" s="247"/>
    </row>
    <row r="94" spans="1:2" ht="26.25">
      <c r="A94" s="247" t="s">
        <v>0</v>
      </c>
      <c r="B94" s="247"/>
    </row>
    <row r="95" spans="1:2" ht="18.75" customHeight="1">
      <c r="A95" s="37"/>
      <c r="B95" s="37"/>
    </row>
    <row r="96" spans="1:2" ht="23.25">
      <c r="A96" s="7" t="s">
        <v>82</v>
      </c>
      <c r="B96" s="165">
        <v>7570.76</v>
      </c>
    </row>
    <row r="97" spans="1:2" ht="23.25">
      <c r="A97" s="7" t="s">
        <v>183</v>
      </c>
      <c r="B97" s="165">
        <v>1391.4</v>
      </c>
    </row>
    <row r="98" spans="1:2" ht="23.25">
      <c r="A98" s="7" t="s">
        <v>242</v>
      </c>
      <c r="B98" s="165">
        <v>275918.25</v>
      </c>
    </row>
    <row r="99" spans="1:2" ht="23.25">
      <c r="A99" s="7" t="s">
        <v>203</v>
      </c>
      <c r="B99" s="165">
        <v>10836</v>
      </c>
    </row>
    <row r="100" spans="1:2" ht="23.25">
      <c r="A100" s="7" t="s">
        <v>241</v>
      </c>
      <c r="B100" s="165">
        <v>0.2</v>
      </c>
    </row>
    <row r="101" spans="1:2" ht="23.25">
      <c r="A101" s="7" t="s">
        <v>255</v>
      </c>
      <c r="B101" s="165">
        <v>3500</v>
      </c>
    </row>
    <row r="102" spans="1:2" ht="23.25">
      <c r="A102" s="7" t="s">
        <v>314</v>
      </c>
      <c r="B102" s="20">
        <v>143350</v>
      </c>
    </row>
    <row r="103" spans="1:2" ht="24" thickBot="1">
      <c r="A103" s="28" t="s">
        <v>3</v>
      </c>
      <c r="B103" s="38">
        <f>SUM(B96:B102)</f>
        <v>442566.61</v>
      </c>
    </row>
    <row r="104" spans="1:2" ht="24" thickTop="1">
      <c r="A104" s="7"/>
      <c r="B104" s="20"/>
    </row>
    <row r="105" spans="1:2" ht="23.25">
      <c r="A105" s="7"/>
      <c r="B105" s="20"/>
    </row>
    <row r="106" spans="1:2" ht="26.25">
      <c r="A106" s="37"/>
      <c r="B106" s="37"/>
    </row>
    <row r="107" spans="1:2" ht="26.25">
      <c r="A107" s="247" t="s">
        <v>93</v>
      </c>
      <c r="B107" s="247"/>
    </row>
    <row r="108" spans="1:2" ht="26.25">
      <c r="A108" s="247" t="s">
        <v>274</v>
      </c>
      <c r="B108" s="247"/>
    </row>
    <row r="109" spans="1:2" ht="26.25">
      <c r="A109" s="247" t="s">
        <v>0</v>
      </c>
      <c r="B109" s="247"/>
    </row>
    <row r="110" spans="1:2" ht="26.25">
      <c r="A110" s="37"/>
      <c r="B110" s="37"/>
    </row>
    <row r="111" spans="1:2" ht="23.25">
      <c r="A111" s="7" t="s">
        <v>82</v>
      </c>
      <c r="B111" s="165">
        <v>1096.78</v>
      </c>
    </row>
    <row r="112" spans="1:2" ht="23.25">
      <c r="A112" s="7" t="s">
        <v>183</v>
      </c>
      <c r="B112" s="165">
        <v>956.4</v>
      </c>
    </row>
    <row r="113" spans="1:2" ht="23.25">
      <c r="A113" s="7" t="s">
        <v>203</v>
      </c>
      <c r="B113" s="165">
        <v>10836</v>
      </c>
    </row>
    <row r="114" spans="1:2" ht="23.25">
      <c r="A114" s="7" t="s">
        <v>255</v>
      </c>
      <c r="B114" s="165">
        <v>12100</v>
      </c>
    </row>
    <row r="115" spans="1:2" ht="23.25">
      <c r="A115" s="7" t="s">
        <v>243</v>
      </c>
      <c r="B115" s="165">
        <v>275918.25</v>
      </c>
    </row>
    <row r="116" spans="1:2" ht="24" thickBot="1">
      <c r="A116" s="28" t="s">
        <v>3</v>
      </c>
      <c r="B116" s="38">
        <f>SUM(B111:B115)</f>
        <v>300907.43</v>
      </c>
    </row>
    <row r="117" spans="1:2" ht="24" thickTop="1">
      <c r="A117" s="7"/>
      <c r="B117" s="20"/>
    </row>
    <row r="118" spans="1:2" ht="26.25">
      <c r="A118" s="247"/>
      <c r="B118" s="247"/>
    </row>
    <row r="119" spans="1:2" ht="26.25">
      <c r="A119" s="247"/>
      <c r="B119" s="247"/>
    </row>
    <row r="120" spans="1:2" ht="26.25">
      <c r="A120" s="247"/>
      <c r="B120" s="247"/>
    </row>
    <row r="121" spans="1:2" ht="18.75" customHeight="1">
      <c r="A121" s="37"/>
      <c r="B121" s="37"/>
    </row>
    <row r="122" spans="1:2" ht="23.25">
      <c r="A122" s="7"/>
      <c r="B122" s="31"/>
    </row>
    <row r="123" spans="1:2" ht="23.25">
      <c r="A123" s="28"/>
      <c r="B123" s="31"/>
    </row>
    <row r="124" spans="1:2" ht="23.25">
      <c r="A124" s="7"/>
      <c r="B124" s="20"/>
    </row>
    <row r="125" spans="1:2" ht="23.25">
      <c r="A125" s="7"/>
      <c r="B125" s="20"/>
    </row>
    <row r="126" spans="1:2" ht="23.25">
      <c r="A126" s="7"/>
      <c r="B126" s="20"/>
    </row>
    <row r="127" spans="1:2" ht="23.25">
      <c r="A127" s="7"/>
      <c r="B127" s="20"/>
    </row>
    <row r="128" spans="1:2" ht="23.25">
      <c r="A128" s="7"/>
      <c r="B128" s="20"/>
    </row>
    <row r="129" spans="1:2" ht="23.25">
      <c r="A129" s="7"/>
      <c r="B129" s="20"/>
    </row>
    <row r="130" spans="1:2" ht="23.25">
      <c r="A130" s="7"/>
      <c r="B130" s="20"/>
    </row>
    <row r="131" spans="1:2" ht="23.25">
      <c r="A131" s="7"/>
      <c r="B131" s="20"/>
    </row>
    <row r="132" spans="1:2" ht="23.25">
      <c r="A132" s="7"/>
      <c r="B132" s="20"/>
    </row>
  </sheetData>
  <sheetProtection/>
  <mergeCells count="25">
    <mergeCell ref="A94:B94"/>
    <mergeCell ref="A53:B53"/>
    <mergeCell ref="A54:B54"/>
    <mergeCell ref="A84:B84"/>
    <mergeCell ref="A93:B93"/>
    <mergeCell ref="A83:B83"/>
    <mergeCell ref="A92:B92"/>
    <mergeCell ref="A82:B82"/>
    <mergeCell ref="A52:B52"/>
    <mergeCell ref="A12:C12"/>
    <mergeCell ref="A13:C13"/>
    <mergeCell ref="A14:C14"/>
    <mergeCell ref="A120:B120"/>
    <mergeCell ref="A119:B119"/>
    <mergeCell ref="A107:B107"/>
    <mergeCell ref="A108:B108"/>
    <mergeCell ref="A118:B118"/>
    <mergeCell ref="A109:B109"/>
    <mergeCell ref="A2:B2"/>
    <mergeCell ref="A3:B3"/>
    <mergeCell ref="A4:B4"/>
    <mergeCell ref="A51:B51"/>
    <mergeCell ref="A42:B42"/>
    <mergeCell ref="A41:B41"/>
    <mergeCell ref="A43:B43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7">
      <selection activeCell="H59" sqref="H59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  <col min="8" max="8" width="15.8515625" style="0" customWidth="1"/>
  </cols>
  <sheetData>
    <row r="1" ht="21" customHeight="1">
      <c r="D1" s="161" t="s">
        <v>182</v>
      </c>
    </row>
    <row r="2" spans="1:4" ht="21" customHeight="1">
      <c r="A2" s="248" t="s">
        <v>117</v>
      </c>
      <c r="B2" s="248"/>
      <c r="C2" s="248"/>
      <c r="D2" s="248"/>
    </row>
    <row r="3" spans="1:4" ht="21" customHeight="1">
      <c r="A3" s="248" t="s">
        <v>181</v>
      </c>
      <c r="B3" s="248"/>
      <c r="C3" s="248"/>
      <c r="D3" s="248"/>
    </row>
    <row r="4" spans="1:4" ht="21" customHeight="1">
      <c r="A4" s="249" t="s">
        <v>265</v>
      </c>
      <c r="B4" s="249"/>
      <c r="C4" s="249"/>
      <c r="D4" s="249"/>
    </row>
    <row r="5" spans="1:4" ht="26.25" customHeight="1">
      <c r="A5" s="155" t="s">
        <v>5</v>
      </c>
      <c r="B5" s="155" t="s">
        <v>8</v>
      </c>
      <c r="C5" s="155" t="s">
        <v>118</v>
      </c>
      <c r="D5" s="156" t="s">
        <v>119</v>
      </c>
    </row>
    <row r="6" spans="1:4" ht="21.75" customHeight="1">
      <c r="A6" s="62" t="s">
        <v>120</v>
      </c>
      <c r="B6" s="63"/>
      <c r="C6" s="64"/>
      <c r="D6" s="65"/>
    </row>
    <row r="7" spans="1:4" ht="21.75" customHeight="1">
      <c r="A7" s="66" t="s">
        <v>121</v>
      </c>
      <c r="B7" s="67" t="s">
        <v>122</v>
      </c>
      <c r="C7" s="68"/>
      <c r="D7" s="69"/>
    </row>
    <row r="8" spans="1:4" ht="21.75" customHeight="1">
      <c r="A8" s="70" t="s">
        <v>123</v>
      </c>
      <c r="B8" s="71" t="s">
        <v>124</v>
      </c>
      <c r="C8" s="72">
        <v>165000</v>
      </c>
      <c r="D8" s="74">
        <f>8162+80255+50134.36+2527+6753+594</f>
        <v>148425.36</v>
      </c>
    </row>
    <row r="9" spans="1:4" ht="21.75" customHeight="1">
      <c r="A9" s="70" t="s">
        <v>125</v>
      </c>
      <c r="B9" s="71" t="s">
        <v>126</v>
      </c>
      <c r="C9" s="72">
        <v>10000</v>
      </c>
      <c r="D9" s="74">
        <f>72.58+1197.28+2794.56+1074.67+767.76+214.72+3.8</f>
        <v>6125.370000000001</v>
      </c>
    </row>
    <row r="10" spans="1:4" ht="21.75" customHeight="1">
      <c r="A10" s="70" t="s">
        <v>127</v>
      </c>
      <c r="B10" s="71" t="s">
        <v>128</v>
      </c>
      <c r="C10" s="72">
        <v>13000</v>
      </c>
      <c r="D10" s="74">
        <f>400+6170+3874</f>
        <v>10444</v>
      </c>
    </row>
    <row r="11" spans="1:4" ht="21.75" customHeight="1" thickBot="1">
      <c r="A11" s="70" t="s">
        <v>129</v>
      </c>
      <c r="B11" s="75" t="s">
        <v>130</v>
      </c>
      <c r="C11" s="76">
        <v>10800</v>
      </c>
      <c r="D11" s="77">
        <f>970+1320+1370+1470+1400+1310+1230+1210+1260+1070+1180</f>
        <v>13790</v>
      </c>
    </row>
    <row r="12" spans="1:4" ht="22.5" customHeight="1" thickBot="1">
      <c r="A12" s="78" t="s">
        <v>49</v>
      </c>
      <c r="B12" s="79"/>
      <c r="C12" s="80">
        <f>C8+C9+C10+C11</f>
        <v>198800</v>
      </c>
      <c r="D12" s="80">
        <f>SUM(D8:D11)</f>
        <v>178784.72999999998</v>
      </c>
    </row>
    <row r="13" spans="1:4" ht="23.25">
      <c r="A13" s="81" t="s">
        <v>131</v>
      </c>
      <c r="B13" s="82" t="s">
        <v>132</v>
      </c>
      <c r="C13" s="69"/>
      <c r="D13" s="83"/>
    </row>
    <row r="14" spans="1:4" ht="23.25">
      <c r="A14" s="84" t="s">
        <v>133</v>
      </c>
      <c r="B14" s="85" t="s">
        <v>134</v>
      </c>
      <c r="C14" s="74">
        <v>19440</v>
      </c>
      <c r="D14" s="74">
        <f>1746+2376+2466+2646+2520+2358+2214+2178+2268+1926+2124</f>
        <v>24822</v>
      </c>
    </row>
    <row r="15" spans="1:4" ht="23.25">
      <c r="A15" s="84" t="s">
        <v>135</v>
      </c>
      <c r="B15" s="85" t="s">
        <v>136</v>
      </c>
      <c r="C15" s="74">
        <v>900</v>
      </c>
      <c r="D15" s="74">
        <f>42.9+65.5+23.5+56+322.75</f>
        <v>510.65</v>
      </c>
    </row>
    <row r="16" spans="1:4" ht="23.25">
      <c r="A16" s="84" t="s">
        <v>137</v>
      </c>
      <c r="B16" s="85" t="s">
        <v>138</v>
      </c>
      <c r="C16" s="73">
        <v>46000</v>
      </c>
      <c r="D16" s="74">
        <f>1090+3550+3080+3500+2450+4800+2310+4090+1260+3530+1970</f>
        <v>31630</v>
      </c>
    </row>
    <row r="17" spans="1:4" ht="23.25">
      <c r="A17" s="84" t="s">
        <v>139</v>
      </c>
      <c r="B17" s="85" t="s">
        <v>140</v>
      </c>
      <c r="C17" s="73">
        <v>1300</v>
      </c>
      <c r="D17" s="74">
        <f>200+180+100+100+60+20+60+130+160+140+130</f>
        <v>1280</v>
      </c>
    </row>
    <row r="18" spans="1:4" ht="23.25">
      <c r="A18" s="84" t="s">
        <v>141</v>
      </c>
      <c r="B18" s="85"/>
      <c r="C18" s="73">
        <v>500</v>
      </c>
      <c r="D18" s="74">
        <f>100+30+50</f>
        <v>180</v>
      </c>
    </row>
    <row r="19" spans="1:4" ht="23.25">
      <c r="A19" s="84" t="s">
        <v>266</v>
      </c>
      <c r="B19" s="85"/>
      <c r="C19" s="73"/>
      <c r="D19" s="74">
        <f>1440867.22</f>
        <v>1440867.22</v>
      </c>
    </row>
    <row r="20" spans="1:4" ht="23.25">
      <c r="A20" s="84" t="s">
        <v>267</v>
      </c>
      <c r="B20" s="85" t="s">
        <v>142</v>
      </c>
      <c r="C20" s="73">
        <v>5000</v>
      </c>
      <c r="D20" s="86">
        <f>873+9035</f>
        <v>9908</v>
      </c>
    </row>
    <row r="21" spans="1:4" ht="23.25">
      <c r="A21" s="87" t="s">
        <v>268</v>
      </c>
      <c r="B21" s="71" t="s">
        <v>143</v>
      </c>
      <c r="C21" s="88">
        <v>1000</v>
      </c>
      <c r="D21" s="86">
        <f>100+400+500+200+200</f>
        <v>1400</v>
      </c>
    </row>
    <row r="22" spans="1:4" ht="23.25">
      <c r="A22" s="89" t="s">
        <v>269</v>
      </c>
      <c r="B22" s="85" t="s">
        <v>144</v>
      </c>
      <c r="C22" s="73">
        <v>1000</v>
      </c>
      <c r="D22" s="86">
        <f>1100+550+200</f>
        <v>1850</v>
      </c>
    </row>
    <row r="23" spans="1:4" ht="23.25">
      <c r="A23" s="89" t="s">
        <v>145</v>
      </c>
      <c r="B23" s="85"/>
      <c r="C23" s="73"/>
      <c r="D23" s="86"/>
    </row>
    <row r="24" spans="1:4" ht="23.25">
      <c r="A24" s="84" t="s">
        <v>270</v>
      </c>
      <c r="B24" s="85" t="s">
        <v>146</v>
      </c>
      <c r="C24" s="74">
        <v>2000</v>
      </c>
      <c r="D24" s="86">
        <f>5000</f>
        <v>5000</v>
      </c>
    </row>
    <row r="25" spans="1:4" ht="23.25">
      <c r="A25" s="84" t="s">
        <v>271</v>
      </c>
      <c r="B25" s="71" t="s">
        <v>147</v>
      </c>
      <c r="C25" s="88">
        <v>500</v>
      </c>
      <c r="D25" s="86">
        <f>20+20+20+30+70</f>
        <v>160</v>
      </c>
    </row>
    <row r="26" spans="1:4" ht="24" thickBot="1">
      <c r="A26" s="90" t="s">
        <v>272</v>
      </c>
      <c r="B26" s="71" t="s">
        <v>148</v>
      </c>
      <c r="C26" s="88">
        <v>500</v>
      </c>
      <c r="D26" s="86">
        <f>225+150+75</f>
        <v>450</v>
      </c>
    </row>
    <row r="27" spans="1:4" ht="24" thickBot="1">
      <c r="A27" s="91" t="s">
        <v>49</v>
      </c>
      <c r="B27" s="79"/>
      <c r="C27" s="80">
        <f>SUM(C14:C26)</f>
        <v>78140</v>
      </c>
      <c r="D27" s="92">
        <f>SUM(D14:D26)</f>
        <v>1518057.8699999999</v>
      </c>
    </row>
    <row r="28" spans="1:4" ht="23.25">
      <c r="A28" s="66" t="s">
        <v>149</v>
      </c>
      <c r="B28" s="93" t="s">
        <v>150</v>
      </c>
      <c r="C28" s="64"/>
      <c r="D28" s="65"/>
    </row>
    <row r="29" spans="1:4" ht="23.25">
      <c r="A29" s="70" t="s">
        <v>151</v>
      </c>
      <c r="B29" s="71" t="s">
        <v>152</v>
      </c>
      <c r="C29" s="72">
        <v>515000</v>
      </c>
      <c r="D29" s="86">
        <f>4.71+18237.07+14101.32+342319.12</f>
        <v>374662.22</v>
      </c>
    </row>
    <row r="30" spans="1:4" ht="23.25">
      <c r="A30" s="70" t="s">
        <v>153</v>
      </c>
      <c r="B30" s="75" t="s">
        <v>152</v>
      </c>
      <c r="C30" s="76">
        <v>0</v>
      </c>
      <c r="D30" s="94"/>
    </row>
    <row r="31" spans="1:4" ht="24" thickBot="1">
      <c r="A31" s="70" t="s">
        <v>240</v>
      </c>
      <c r="B31" s="75" t="s">
        <v>152</v>
      </c>
      <c r="C31" s="76">
        <v>36000</v>
      </c>
      <c r="D31" s="94">
        <f>3000+3000+3000+3000+3000+6000+3000+3000+3000+3000</f>
        <v>33000</v>
      </c>
    </row>
    <row r="32" spans="1:4" ht="24" thickBot="1">
      <c r="A32" s="95" t="s">
        <v>49</v>
      </c>
      <c r="B32" s="96"/>
      <c r="C32" s="97">
        <f>SUM(C29:C31)</f>
        <v>551000</v>
      </c>
      <c r="D32" s="98">
        <f>SUM(D29:D31)</f>
        <v>407662.22</v>
      </c>
    </row>
    <row r="33" spans="1:4" ht="23.25">
      <c r="A33" s="99" t="s">
        <v>154</v>
      </c>
      <c r="B33" s="100" t="s">
        <v>155</v>
      </c>
      <c r="C33" s="101"/>
      <c r="D33" s="102"/>
    </row>
    <row r="34" spans="1:4" ht="23.25">
      <c r="A34" s="103" t="s">
        <v>156</v>
      </c>
      <c r="B34" s="104" t="s">
        <v>157</v>
      </c>
      <c r="C34" s="105">
        <v>20000</v>
      </c>
      <c r="D34" s="86">
        <f>26800</f>
        <v>26800</v>
      </c>
    </row>
    <row r="35" spans="1:4" ht="23.25">
      <c r="A35" s="84" t="s">
        <v>158</v>
      </c>
      <c r="B35" s="106" t="s">
        <v>159</v>
      </c>
      <c r="C35" s="73">
        <v>1000</v>
      </c>
      <c r="D35" s="107">
        <f>62+106+164+176+162+180+146+232+164+168+204</f>
        <v>1764</v>
      </c>
    </row>
    <row r="36" spans="1:4" ht="24" thickBot="1">
      <c r="A36" s="84" t="s">
        <v>160</v>
      </c>
      <c r="B36" s="108" t="s">
        <v>161</v>
      </c>
      <c r="C36" s="109">
        <v>30000</v>
      </c>
      <c r="D36" s="110">
        <f>910+1644+1580+1460+1730+3490+1720+1500+1450+700+210</f>
        <v>16394</v>
      </c>
    </row>
    <row r="37" spans="1:4" ht="24" thickBot="1">
      <c r="A37" s="78" t="s">
        <v>49</v>
      </c>
      <c r="B37" s="111"/>
      <c r="C37" s="112">
        <f>SUM(C34:C36)</f>
        <v>51000</v>
      </c>
      <c r="D37" s="113">
        <f>SUM(D34:D36)</f>
        <v>44958</v>
      </c>
    </row>
    <row r="38" spans="1:4" ht="23.25">
      <c r="A38" s="114" t="s">
        <v>162</v>
      </c>
      <c r="B38" s="115"/>
      <c r="C38" s="69"/>
      <c r="D38" s="83"/>
    </row>
    <row r="39" spans="1:4" ht="23.25">
      <c r="A39" s="81" t="s">
        <v>163</v>
      </c>
      <c r="B39" s="115">
        <v>420000</v>
      </c>
      <c r="C39" s="69"/>
      <c r="D39" s="116"/>
    </row>
    <row r="40" spans="1:4" ht="23.25">
      <c r="A40" s="84" t="s">
        <v>164</v>
      </c>
      <c r="B40" s="117">
        <v>421002</v>
      </c>
      <c r="C40" s="73">
        <v>15000000</v>
      </c>
      <c r="D40" s="118">
        <f>1070672.64+1040983.56+61934.92+3197515.81+3222498.72+1047093.13+1159482.88</f>
        <v>10800181.66</v>
      </c>
    </row>
    <row r="41" spans="1:4" ht="23.25">
      <c r="A41" s="84" t="s">
        <v>165</v>
      </c>
      <c r="B41" s="117">
        <v>421003</v>
      </c>
      <c r="C41" s="73">
        <v>500000</v>
      </c>
      <c r="D41" s="118">
        <f>53669.94+60520.68+60396.73+58817.82+66340.15+66746.41+54167.11+68519.04+119629.3</f>
        <v>608807.1799999999</v>
      </c>
    </row>
    <row r="42" spans="1:4" ht="23.25">
      <c r="A42" s="84" t="s">
        <v>166</v>
      </c>
      <c r="B42" s="117">
        <v>421005</v>
      </c>
      <c r="C42" s="73">
        <v>30000</v>
      </c>
      <c r="D42" s="118">
        <f>6406.4+7789.6</f>
        <v>14196</v>
      </c>
    </row>
    <row r="43" spans="1:4" ht="23.25">
      <c r="A43" s="84" t="s">
        <v>167</v>
      </c>
      <c r="B43" s="117">
        <v>421006</v>
      </c>
      <c r="C43" s="73">
        <v>320000</v>
      </c>
      <c r="D43" s="118">
        <f>25418.15+59165.15+36871.01+32878.24+35704.4+49611.39+24592.35+33583.88+48465.88</f>
        <v>346290.44999999995</v>
      </c>
    </row>
    <row r="44" spans="1:4" ht="23.25">
      <c r="A44" s="119" t="s">
        <v>168</v>
      </c>
      <c r="B44" s="117">
        <v>421007</v>
      </c>
      <c r="C44" s="73">
        <v>500000</v>
      </c>
      <c r="D44" s="118">
        <f>54879.43+117853.21+329.8+67705.28+79119.5+60929.84+76263.45+63541.26+77519.48+135959.68</f>
        <v>734100.9299999999</v>
      </c>
    </row>
    <row r="45" spans="1:4" ht="23.25">
      <c r="A45" s="103" t="s">
        <v>169</v>
      </c>
      <c r="B45" s="117">
        <v>421012</v>
      </c>
      <c r="C45" s="73">
        <v>30000</v>
      </c>
      <c r="D45" s="120">
        <f>6961.31+8660.94+10915.71</f>
        <v>26537.96</v>
      </c>
    </row>
    <row r="46" spans="1:4" ht="23.25">
      <c r="A46" s="84" t="s">
        <v>170</v>
      </c>
      <c r="B46" s="117">
        <v>421013</v>
      </c>
      <c r="C46" s="73">
        <v>20000</v>
      </c>
      <c r="D46" s="118">
        <f>3814.05+3675.21+2801.62+2515.33</f>
        <v>12806.210000000001</v>
      </c>
    </row>
    <row r="47" spans="1:4" ht="24" thickBot="1">
      <c r="A47" s="89" t="s">
        <v>171</v>
      </c>
      <c r="B47" s="121">
        <v>421015</v>
      </c>
      <c r="C47" s="122">
        <v>300000</v>
      </c>
      <c r="D47" s="118">
        <f>20239+28066+3504+69143+16459+38478+21113+72190</f>
        <v>269192</v>
      </c>
    </row>
    <row r="48" spans="1:4" ht="24" thickBot="1">
      <c r="A48" s="78" t="s">
        <v>49</v>
      </c>
      <c r="B48" s="123"/>
      <c r="C48" s="124">
        <f>SUM(C40:C47)</f>
        <v>16700000</v>
      </c>
      <c r="D48" s="98">
        <f>SUM(D40:D47)</f>
        <v>12812112.39</v>
      </c>
    </row>
    <row r="49" spans="1:4" ht="23.25">
      <c r="A49" s="125" t="s">
        <v>162</v>
      </c>
      <c r="B49" s="126"/>
      <c r="C49" s="127"/>
      <c r="D49" s="128"/>
    </row>
    <row r="50" spans="1:4" ht="23.25">
      <c r="A50" s="129" t="s">
        <v>172</v>
      </c>
      <c r="B50" s="130">
        <v>430000</v>
      </c>
      <c r="C50" s="131"/>
      <c r="D50" s="132"/>
    </row>
    <row r="51" spans="1:4" ht="24" thickBot="1">
      <c r="A51" s="133" t="s">
        <v>173</v>
      </c>
      <c r="B51" s="134">
        <v>431002</v>
      </c>
      <c r="C51" s="135">
        <v>10250000</v>
      </c>
      <c r="D51" s="118">
        <f>2811702+2811703+48526</f>
        <v>5671931</v>
      </c>
    </row>
    <row r="52" spans="1:4" ht="24" thickBot="1">
      <c r="A52" s="91" t="s">
        <v>49</v>
      </c>
      <c r="B52" s="136"/>
      <c r="C52" s="97">
        <f>SUM(C51)</f>
        <v>10250000</v>
      </c>
      <c r="D52" s="98">
        <f>SUM(D51)</f>
        <v>5671931</v>
      </c>
    </row>
    <row r="53" spans="1:4" ht="23.25">
      <c r="A53" s="137" t="s">
        <v>174</v>
      </c>
      <c r="B53" s="138"/>
      <c r="C53" s="139"/>
      <c r="D53" s="140"/>
    </row>
    <row r="54" spans="1:4" ht="23.25">
      <c r="A54" s="141" t="s">
        <v>175</v>
      </c>
      <c r="B54" s="130">
        <v>440000</v>
      </c>
      <c r="C54" s="135"/>
      <c r="D54" s="142"/>
    </row>
    <row r="55" spans="1:4" ht="23.25">
      <c r="A55" s="143" t="s">
        <v>176</v>
      </c>
      <c r="B55" s="144"/>
      <c r="C55" s="132"/>
      <c r="D55" s="118">
        <f>549600+366400+183200+183200+790300</f>
        <v>2072700</v>
      </c>
    </row>
    <row r="56" spans="1:4" ht="23.25">
      <c r="A56" s="145" t="s">
        <v>177</v>
      </c>
      <c r="B56" s="144"/>
      <c r="C56" s="132"/>
      <c r="D56" s="118">
        <f>172800+172800+57600+191200+45600</f>
        <v>640000</v>
      </c>
    </row>
    <row r="57" spans="1:4" ht="23.25">
      <c r="A57" s="145" t="s">
        <v>178</v>
      </c>
      <c r="B57" s="146"/>
      <c r="C57" s="158"/>
      <c r="D57" s="239">
        <f>59436+70275+101706+57291</f>
        <v>288708</v>
      </c>
    </row>
    <row r="58" spans="1:4" ht="23.25">
      <c r="A58" s="145" t="s">
        <v>227</v>
      </c>
      <c r="B58" s="146"/>
      <c r="C58" s="158"/>
      <c r="D58" s="239">
        <f>144000+146000+270000+150440</f>
        <v>710440</v>
      </c>
    </row>
    <row r="59" spans="1:4" ht="23.25">
      <c r="A59" s="149" t="s">
        <v>228</v>
      </c>
      <c r="B59" s="146"/>
      <c r="C59" s="158"/>
      <c r="D59" s="118">
        <f>114693+114693+114693</f>
        <v>344079</v>
      </c>
    </row>
    <row r="60" spans="1:4" ht="23.25">
      <c r="A60" s="145" t="s">
        <v>229</v>
      </c>
      <c r="B60" s="146"/>
      <c r="C60" s="158"/>
      <c r="D60" s="118">
        <v>566465</v>
      </c>
    </row>
    <row r="61" spans="1:4" ht="23.25">
      <c r="A61" s="145" t="s">
        <v>230</v>
      </c>
      <c r="B61" s="146"/>
      <c r="C61" s="158"/>
      <c r="D61" s="239">
        <f>6000</f>
        <v>6000</v>
      </c>
    </row>
    <row r="62" spans="1:4" ht="23.25">
      <c r="A62" s="145" t="s">
        <v>231</v>
      </c>
      <c r="B62" s="146"/>
      <c r="C62" s="158"/>
      <c r="D62" s="118">
        <v>212500</v>
      </c>
    </row>
    <row r="63" spans="1:8" ht="23.25">
      <c r="A63" s="145" t="s">
        <v>232</v>
      </c>
      <c r="B63" s="146"/>
      <c r="C63" s="158"/>
      <c r="D63" s="239">
        <f>37500+3327</f>
        <v>40827</v>
      </c>
      <c r="H63" s="240">
        <v>21703481.21</v>
      </c>
    </row>
    <row r="64" spans="1:4" ht="24" thickBot="1">
      <c r="A64" s="145" t="s">
        <v>233</v>
      </c>
      <c r="B64" s="146"/>
      <c r="C64" s="158"/>
      <c r="D64" s="239">
        <f>6000+6000+12000</f>
        <v>24000</v>
      </c>
    </row>
    <row r="65" spans="1:4" ht="24" thickBot="1">
      <c r="A65" s="147" t="s">
        <v>49</v>
      </c>
      <c r="B65" s="136"/>
      <c r="C65" s="124"/>
      <c r="D65" s="113">
        <f>SUM(D55:D64)</f>
        <v>4905719</v>
      </c>
    </row>
    <row r="66" spans="1:4" ht="21" customHeight="1">
      <c r="A66" s="148" t="s">
        <v>179</v>
      </c>
      <c r="B66" s="138"/>
      <c r="C66" s="159"/>
      <c r="D66" s="157"/>
    </row>
    <row r="67" spans="1:4" ht="19.5" customHeight="1" thickBot="1">
      <c r="A67" s="149"/>
      <c r="B67" s="69"/>
      <c r="C67" s="160"/>
      <c r="D67" s="118">
        <v>0</v>
      </c>
    </row>
    <row r="68" spans="1:4" ht="21.75" customHeight="1" thickBot="1">
      <c r="A68" s="150" t="s">
        <v>49</v>
      </c>
      <c r="B68" s="136"/>
      <c r="C68" s="97"/>
      <c r="D68" s="98">
        <f>SUM(D67:D67)</f>
        <v>0</v>
      </c>
    </row>
    <row r="69" spans="1:4" ht="21.75" customHeight="1" thickBot="1">
      <c r="A69" s="151" t="s">
        <v>180</v>
      </c>
      <c r="B69" s="152"/>
      <c r="C69" s="153">
        <f>C12+C27+C32+C37+C48+C52+C65+C68</f>
        <v>27828940</v>
      </c>
      <c r="D69" s="154">
        <f>D12+D27+D32+D37+D48+D52+D65+D68</f>
        <v>25539225.21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H8" sqref="H8"/>
    </sheetView>
  </sheetViews>
  <sheetFormatPr defaultColWidth="9.140625" defaultRowHeight="21.75"/>
  <cols>
    <col min="1" max="1" width="17.00390625" style="0" customWidth="1"/>
    <col min="2" max="2" width="20.7109375" style="0" customWidth="1"/>
    <col min="3" max="3" width="39.8515625" style="0" customWidth="1"/>
    <col min="4" max="4" width="17.28125" style="0" customWidth="1"/>
  </cols>
  <sheetData>
    <row r="1" spans="1:4" ht="23.25">
      <c r="A1" s="250" t="s">
        <v>117</v>
      </c>
      <c r="B1" s="251"/>
      <c r="C1" s="252" t="s">
        <v>194</v>
      </c>
      <c r="D1" s="253"/>
    </row>
    <row r="2" spans="1:4" ht="23.25">
      <c r="A2" s="169" t="s">
        <v>195</v>
      </c>
      <c r="B2" s="170"/>
      <c r="C2" s="254" t="s">
        <v>196</v>
      </c>
      <c r="D2" s="255"/>
    </row>
    <row r="3" spans="1:4" ht="23.25">
      <c r="A3" s="171" t="s">
        <v>278</v>
      </c>
      <c r="B3" s="172"/>
      <c r="C3" s="173"/>
      <c r="D3" s="174">
        <v>3406771.57</v>
      </c>
    </row>
    <row r="4" spans="1:4" ht="23.25">
      <c r="A4" s="175" t="s">
        <v>197</v>
      </c>
      <c r="B4" s="176"/>
      <c r="C4" s="177"/>
      <c r="D4" s="166"/>
    </row>
    <row r="5" spans="1:4" ht="23.25">
      <c r="A5" s="178" t="s">
        <v>198</v>
      </c>
      <c r="B5" s="179" t="s">
        <v>199</v>
      </c>
      <c r="C5" s="180" t="s">
        <v>200</v>
      </c>
      <c r="D5" s="181" t="s">
        <v>201</v>
      </c>
    </row>
    <row r="6" spans="1:4" ht="23.25">
      <c r="A6" s="182" t="s">
        <v>259</v>
      </c>
      <c r="B6" s="183" t="s">
        <v>256</v>
      </c>
      <c r="C6" s="184" t="s">
        <v>258</v>
      </c>
      <c r="D6" s="185">
        <v>82580</v>
      </c>
    </row>
    <row r="7" spans="1:4" ht="23.25">
      <c r="A7" s="182" t="s">
        <v>259</v>
      </c>
      <c r="B7" s="183" t="s">
        <v>257</v>
      </c>
      <c r="C7" s="184" t="s">
        <v>315</v>
      </c>
      <c r="D7" s="185">
        <v>7500</v>
      </c>
    </row>
    <row r="8" spans="1:4" ht="23.25">
      <c r="A8" s="182" t="s">
        <v>279</v>
      </c>
      <c r="B8" s="183" t="s">
        <v>280</v>
      </c>
      <c r="C8" s="184" t="s">
        <v>281</v>
      </c>
      <c r="D8" s="185">
        <v>200000</v>
      </c>
    </row>
    <row r="9" spans="1:4" ht="23.25">
      <c r="A9" s="182"/>
      <c r="B9" s="183" t="s">
        <v>283</v>
      </c>
      <c r="C9" s="184" t="s">
        <v>282</v>
      </c>
      <c r="D9" s="185">
        <v>5000</v>
      </c>
    </row>
    <row r="10" spans="1:4" ht="23.25">
      <c r="A10" s="182"/>
      <c r="B10" s="183" t="s">
        <v>284</v>
      </c>
      <c r="C10" s="184" t="s">
        <v>287</v>
      </c>
      <c r="D10" s="185">
        <v>4300</v>
      </c>
    </row>
    <row r="11" spans="1:4" ht="23.25">
      <c r="A11" s="182"/>
      <c r="B11" s="183" t="s">
        <v>285</v>
      </c>
      <c r="C11" s="184" t="s">
        <v>288</v>
      </c>
      <c r="D11" s="185">
        <v>3328.6</v>
      </c>
    </row>
    <row r="12" spans="1:4" ht="23.25">
      <c r="A12" s="182"/>
      <c r="B12" s="183" t="s">
        <v>286</v>
      </c>
      <c r="C12" s="184" t="s">
        <v>289</v>
      </c>
      <c r="D12" s="185">
        <v>3600</v>
      </c>
    </row>
    <row r="13" spans="1:4" ht="23.25">
      <c r="A13" s="182"/>
      <c r="B13" s="183" t="s">
        <v>291</v>
      </c>
      <c r="C13" s="184" t="s">
        <v>290</v>
      </c>
      <c r="D13" s="185">
        <v>4860</v>
      </c>
    </row>
    <row r="14" spans="1:4" ht="23.25">
      <c r="A14" s="182"/>
      <c r="B14" s="183" t="s">
        <v>292</v>
      </c>
      <c r="C14" s="184" t="s">
        <v>294</v>
      </c>
      <c r="D14" s="185">
        <v>1128136.3</v>
      </c>
    </row>
    <row r="15" spans="1:4" ht="23.25">
      <c r="A15" s="182"/>
      <c r="B15" s="183" t="s">
        <v>293</v>
      </c>
      <c r="C15" s="184" t="s">
        <v>295</v>
      </c>
      <c r="D15" s="185">
        <v>1280.53</v>
      </c>
    </row>
    <row r="16" spans="1:4" ht="23.25">
      <c r="A16" s="182"/>
      <c r="B16" s="183" t="s">
        <v>298</v>
      </c>
      <c r="C16" s="184" t="s">
        <v>296</v>
      </c>
      <c r="D16" s="185">
        <v>3710</v>
      </c>
    </row>
    <row r="17" spans="1:4" ht="23.25">
      <c r="A17" s="182"/>
      <c r="B17" s="183" t="s">
        <v>299</v>
      </c>
      <c r="C17" s="184" t="s">
        <v>297</v>
      </c>
      <c r="D17" s="185">
        <v>4515.4</v>
      </c>
    </row>
    <row r="18" spans="1:4" ht="23.25">
      <c r="A18" s="182"/>
      <c r="B18" s="183"/>
      <c r="C18" s="184"/>
      <c r="D18" s="185"/>
    </row>
    <row r="19" spans="1:4" ht="23.25">
      <c r="A19" s="182"/>
      <c r="B19" s="183"/>
      <c r="C19" s="184"/>
      <c r="D19" s="185"/>
    </row>
    <row r="20" spans="1:4" ht="23.25">
      <c r="A20" s="186"/>
      <c r="B20" s="183"/>
      <c r="C20" s="184"/>
      <c r="D20" s="187">
        <f>SUM(D6:D19)</f>
        <v>1448810.8299999998</v>
      </c>
    </row>
    <row r="21" spans="1:4" ht="23.25">
      <c r="A21" s="186"/>
      <c r="B21" s="183"/>
      <c r="C21" s="184"/>
      <c r="D21" s="187">
        <f>+D3-D20</f>
        <v>1957960.74</v>
      </c>
    </row>
    <row r="22" spans="1:4" ht="23.25">
      <c r="A22" s="256" t="s">
        <v>300</v>
      </c>
      <c r="B22" s="257"/>
      <c r="C22" s="258"/>
      <c r="D22" s="188"/>
    </row>
    <row r="23" spans="1:4" ht="23.25">
      <c r="A23" s="235"/>
      <c r="B23" s="236"/>
      <c r="C23" s="191">
        <v>3306</v>
      </c>
      <c r="D23" s="188"/>
    </row>
    <row r="24" spans="1:4" ht="23.25">
      <c r="A24" s="235"/>
      <c r="B24" s="236"/>
      <c r="C24" s="191">
        <v>900</v>
      </c>
      <c r="D24" s="188"/>
    </row>
    <row r="25" spans="1:4" ht="23.25">
      <c r="A25" s="235"/>
      <c r="B25" s="236"/>
      <c r="C25" s="191">
        <v>833</v>
      </c>
      <c r="D25" s="188"/>
    </row>
    <row r="26" spans="1:4" ht="23.25">
      <c r="A26" s="235"/>
      <c r="B26" s="237"/>
      <c r="C26" s="191">
        <v>19059.69</v>
      </c>
      <c r="D26" s="188"/>
    </row>
    <row r="27" spans="1:4" ht="23.25">
      <c r="A27" s="189"/>
      <c r="B27" s="190"/>
      <c r="C27" s="191"/>
      <c r="D27" s="192"/>
    </row>
    <row r="28" spans="1:4" ht="23.25">
      <c r="A28" s="189"/>
      <c r="B28" s="190"/>
      <c r="C28" s="191"/>
      <c r="D28" s="192"/>
    </row>
    <row r="29" spans="1:4" ht="23.25">
      <c r="A29" s="193"/>
      <c r="B29" s="194"/>
      <c r="C29" s="195"/>
      <c r="D29" s="196">
        <f>SUM(C22:C29)</f>
        <v>24098.69</v>
      </c>
    </row>
    <row r="30" spans="1:4" ht="23.25">
      <c r="A30" s="197" t="s">
        <v>301</v>
      </c>
      <c r="B30" s="198"/>
      <c r="C30" s="199"/>
      <c r="D30" s="200">
        <f>+D21-D29</f>
        <v>1933862.05</v>
      </c>
    </row>
    <row r="31" spans="1:4" ht="23.25">
      <c r="A31" s="171" t="s">
        <v>9</v>
      </c>
      <c r="B31" s="173"/>
      <c r="C31" s="259" t="s">
        <v>202</v>
      </c>
      <c r="D31" s="260"/>
    </row>
    <row r="32" spans="1:4" ht="36.75" customHeight="1">
      <c r="A32" s="167"/>
      <c r="B32" s="177"/>
      <c r="C32" s="201"/>
      <c r="D32" s="202"/>
    </row>
    <row r="33" spans="1:4" ht="23.25">
      <c r="A33" s="261" t="s">
        <v>302</v>
      </c>
      <c r="B33" s="262"/>
      <c r="C33" s="261" t="s">
        <v>303</v>
      </c>
      <c r="D33" s="262"/>
    </row>
  </sheetData>
  <sheetProtection/>
  <mergeCells count="7">
    <mergeCell ref="A1:B1"/>
    <mergeCell ref="C1:D1"/>
    <mergeCell ref="C2:D2"/>
    <mergeCell ref="A22:C22"/>
    <mergeCell ref="C31:D31"/>
    <mergeCell ref="A33:B33"/>
    <mergeCell ref="C33:D3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2016-09-16T04:40:28Z</cp:lastPrinted>
  <dcterms:created xsi:type="dcterms:W3CDTF">2003-11-30T04:11:06Z</dcterms:created>
  <dcterms:modified xsi:type="dcterms:W3CDTF">2017-06-28T14:47:38Z</dcterms:modified>
  <cp:category/>
  <cp:version/>
  <cp:contentType/>
  <cp:contentStatus/>
</cp:coreProperties>
</file>